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tni disk E\Skills and Development\Darts_2021.07.27\.Steel Darts Prerov\.steely 2022-2023\turnaje\"/>
    </mc:Choice>
  </mc:AlternateContent>
  <xr:revisionPtr revIDLastSave="0" documentId="13_ncr:1_{960872B2-19C9-4895-83E2-14A464018425}" xr6:coauthVersionLast="47" xr6:coauthVersionMax="47" xr10:uidLastSave="{00000000-0000-0000-0000-000000000000}"/>
  <bookViews>
    <workbookView xWindow="583" yWindow="754" windowWidth="32331" windowHeight="17743" tabRatio="838" xr2:uid="{00000000-000D-0000-FFFF-FFFF00000000}"/>
  </bookViews>
  <sheets>
    <sheet name="vzor_A" sheetId="127" r:id="rId1"/>
    <sheet name="vzor_B" sheetId="12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1" i="128" l="1"/>
  <c r="F139" i="128"/>
  <c r="D139" i="128"/>
  <c r="G137" i="128"/>
  <c r="C137" i="128"/>
  <c r="I135" i="128"/>
  <c r="D135" i="128"/>
  <c r="C133" i="128"/>
  <c r="F131" i="128"/>
  <c r="D131" i="128"/>
  <c r="G129" i="128"/>
  <c r="C129" i="128"/>
  <c r="D127" i="128"/>
  <c r="C125" i="128"/>
  <c r="F123" i="128"/>
  <c r="D123" i="128"/>
  <c r="G121" i="128"/>
  <c r="C121" i="128"/>
  <c r="I119" i="128"/>
  <c r="D119" i="128"/>
  <c r="C117" i="128"/>
  <c r="F115" i="128"/>
  <c r="D115" i="128"/>
  <c r="L113" i="128"/>
  <c r="G113" i="128"/>
  <c r="C113" i="128"/>
  <c r="L111" i="128"/>
  <c r="D111" i="128"/>
  <c r="C105" i="128"/>
  <c r="F103" i="128"/>
  <c r="D103" i="128"/>
  <c r="G101" i="128"/>
  <c r="C101" i="128"/>
  <c r="I99" i="128"/>
  <c r="D99" i="128"/>
  <c r="C97" i="128"/>
  <c r="F95" i="128"/>
  <c r="D95" i="128"/>
  <c r="G93" i="128"/>
  <c r="C93" i="128"/>
  <c r="D91" i="128"/>
  <c r="C89" i="128"/>
  <c r="F87" i="128"/>
  <c r="D87" i="128"/>
  <c r="G85" i="128"/>
  <c r="C85" i="128"/>
  <c r="I83" i="128"/>
  <c r="D83" i="128"/>
  <c r="C81" i="128"/>
  <c r="F79" i="128"/>
  <c r="D79" i="128"/>
  <c r="L77" i="128"/>
  <c r="G77" i="128"/>
  <c r="C77" i="128"/>
  <c r="L75" i="128"/>
  <c r="D75" i="128"/>
  <c r="N211" i="128"/>
  <c r="N208" i="128"/>
  <c r="M213" i="128"/>
  <c r="M210" i="128"/>
  <c r="M207" i="128"/>
  <c r="N205" i="128"/>
  <c r="N175" i="128"/>
  <c r="N172" i="128"/>
  <c r="M177" i="128"/>
  <c r="M174" i="128"/>
  <c r="N169" i="128"/>
  <c r="M171" i="128"/>
  <c r="I207" i="128"/>
  <c r="I191" i="128"/>
  <c r="I171" i="128"/>
  <c r="I155" i="128"/>
  <c r="F211" i="128"/>
  <c r="G209" i="128"/>
  <c r="F203" i="128"/>
  <c r="G201" i="128"/>
  <c r="F195" i="128"/>
  <c r="G193" i="128"/>
  <c r="G185" i="128"/>
  <c r="F187" i="128"/>
  <c r="F175" i="128"/>
  <c r="G173" i="128"/>
  <c r="F167" i="128"/>
  <c r="G165" i="128"/>
  <c r="F159" i="128"/>
  <c r="G157" i="128"/>
  <c r="F151" i="128"/>
  <c r="G149" i="128"/>
  <c r="D211" i="128"/>
  <c r="D207" i="128"/>
  <c r="D203" i="128"/>
  <c r="D199" i="128"/>
  <c r="D195" i="128"/>
  <c r="D191" i="128"/>
  <c r="D187" i="128"/>
  <c r="D183" i="128"/>
  <c r="D175" i="128"/>
  <c r="D171" i="128"/>
  <c r="D167" i="128"/>
  <c r="D163" i="128"/>
  <c r="D159" i="128"/>
  <c r="D155" i="128"/>
  <c r="D151" i="128"/>
  <c r="D147" i="128"/>
  <c r="C213" i="128"/>
  <c r="C209" i="128"/>
  <c r="C205" i="128"/>
  <c r="C201" i="128"/>
  <c r="C197" i="128"/>
  <c r="C193" i="128"/>
  <c r="C189" i="128"/>
  <c r="C185" i="128"/>
  <c r="C177" i="128"/>
  <c r="C173" i="128"/>
  <c r="C169" i="128"/>
  <c r="C165" i="128"/>
  <c r="C161" i="128"/>
  <c r="C157" i="128"/>
  <c r="C153" i="128"/>
  <c r="C149" i="128"/>
  <c r="C33" i="128"/>
  <c r="F31" i="128"/>
  <c r="D31" i="128"/>
  <c r="G29" i="128"/>
  <c r="C29" i="128"/>
  <c r="I27" i="128"/>
  <c r="D27" i="128"/>
  <c r="J25" i="128"/>
  <c r="C25" i="128"/>
  <c r="F23" i="128"/>
  <c r="D23" i="128"/>
  <c r="G21" i="128"/>
  <c r="C21" i="128"/>
  <c r="D19" i="128"/>
  <c r="C17" i="128"/>
  <c r="F15" i="128"/>
  <c r="D15" i="128"/>
  <c r="G13" i="128"/>
  <c r="C13" i="128"/>
  <c r="I11" i="128"/>
  <c r="D11" i="128"/>
  <c r="J9" i="128"/>
  <c r="C9" i="128"/>
  <c r="F7" i="128"/>
  <c r="D7" i="128"/>
  <c r="L5" i="128"/>
  <c r="G5" i="128"/>
  <c r="C5" i="128"/>
  <c r="L3" i="128"/>
  <c r="D3" i="128"/>
  <c r="L185" i="128"/>
  <c r="L183" i="128"/>
  <c r="L149" i="128"/>
  <c r="L147" i="128"/>
  <c r="L41" i="128"/>
  <c r="L39" i="128"/>
  <c r="M69" i="128"/>
  <c r="N67" i="128"/>
  <c r="N64" i="128"/>
  <c r="N61" i="128"/>
  <c r="C69" i="128"/>
  <c r="F67" i="128"/>
  <c r="D67" i="128"/>
  <c r="M66" i="128"/>
  <c r="G65" i="128"/>
  <c r="C65" i="128"/>
  <c r="M63" i="128"/>
  <c r="I63" i="128"/>
  <c r="D63" i="128"/>
  <c r="J61" i="128"/>
  <c r="C61" i="128"/>
  <c r="F59" i="128"/>
  <c r="D59" i="128"/>
  <c r="G57" i="128"/>
  <c r="C57" i="128"/>
  <c r="D55" i="128"/>
  <c r="C53" i="128"/>
  <c r="F51" i="128"/>
  <c r="D51" i="128"/>
  <c r="G49" i="128"/>
  <c r="C49" i="128"/>
  <c r="I47" i="128"/>
  <c r="D47" i="128"/>
  <c r="J45" i="128"/>
  <c r="C45" i="128"/>
  <c r="F43" i="128"/>
  <c r="D43" i="128"/>
  <c r="G41" i="128"/>
  <c r="C41" i="128"/>
  <c r="D39" i="128"/>
  <c r="F219" i="127"/>
  <c r="F218" i="127"/>
  <c r="CP186" i="127"/>
  <c r="CP185" i="127"/>
  <c r="CP182" i="127"/>
  <c r="R182" i="127"/>
  <c r="CP181" i="127"/>
  <c r="CP180" i="127"/>
  <c r="CP179" i="127"/>
  <c r="R179" i="127"/>
  <c r="CP176" i="127"/>
  <c r="CP175" i="127"/>
  <c r="CP174" i="127"/>
  <c r="CP173" i="127"/>
  <c r="CP172" i="127"/>
  <c r="CP171" i="127"/>
  <c r="CP170" i="127"/>
  <c r="CP169" i="127"/>
  <c r="CP166" i="127"/>
  <c r="CP165" i="127"/>
  <c r="CP164" i="127"/>
  <c r="CP163" i="127"/>
  <c r="CP162" i="127"/>
  <c r="CP161" i="127"/>
  <c r="CP160" i="127"/>
  <c r="CP159" i="127"/>
  <c r="CY158" i="127"/>
  <c r="CP158" i="127"/>
  <c r="CY157" i="127"/>
  <c r="CP157" i="127"/>
  <c r="CY156" i="127"/>
  <c r="CP156" i="127"/>
  <c r="DD155" i="127"/>
  <c r="CP155" i="127"/>
  <c r="CP154" i="127"/>
  <c r="CY153" i="127"/>
  <c r="CP153" i="127"/>
  <c r="CY152" i="127"/>
  <c r="CP152" i="127"/>
  <c r="CY151" i="127"/>
  <c r="CP151" i="127"/>
  <c r="DD150" i="127"/>
  <c r="F148" i="127"/>
  <c r="CJ143" i="127"/>
  <c r="AL143" i="127"/>
  <c r="AJ143" i="127"/>
  <c r="AK143" i="127" s="1"/>
  <c r="AH143" i="127"/>
  <c r="AA143" i="127"/>
  <c r="Z143" i="127"/>
  <c r="Y143" i="127"/>
  <c r="X143" i="127"/>
  <c r="V143" i="127"/>
  <c r="W143" i="127" s="1"/>
  <c r="U143" i="127"/>
  <c r="S143" i="127"/>
  <c r="T143" i="127" s="1"/>
  <c r="R143" i="127"/>
  <c r="P143" i="127"/>
  <c r="Q143" i="127" s="1"/>
  <c r="O143" i="127"/>
  <c r="M143" i="127"/>
  <c r="N143" i="127" s="1"/>
  <c r="L143" i="127"/>
  <c r="J143" i="127"/>
  <c r="BG142" i="127"/>
  <c r="AL142" i="127"/>
  <c r="AJ142" i="127"/>
  <c r="AK142" i="127" s="1"/>
  <c r="AH142" i="127"/>
  <c r="AC142" i="127"/>
  <c r="X142" i="127"/>
  <c r="W142" i="127"/>
  <c r="V142" i="127"/>
  <c r="U142" i="127"/>
  <c r="S142" i="127"/>
  <c r="T142" i="127" s="1"/>
  <c r="R142" i="127"/>
  <c r="P142" i="127"/>
  <c r="O142" i="127"/>
  <c r="N142" i="127" s="1"/>
  <c r="M142" i="127"/>
  <c r="L142" i="127"/>
  <c r="K142" i="127"/>
  <c r="J142" i="127"/>
  <c r="DG141" i="127"/>
  <c r="AL141" i="127"/>
  <c r="AJ141" i="127"/>
  <c r="AK141" i="127" s="1"/>
  <c r="AH141" i="127"/>
  <c r="BQ139" i="127" s="1"/>
  <c r="AC141" i="127"/>
  <c r="Z141" i="127"/>
  <c r="U141" i="127"/>
  <c r="T141" i="127" s="1"/>
  <c r="S141" i="127"/>
  <c r="R141" i="127"/>
  <c r="Q141" i="127"/>
  <c r="P141" i="127"/>
  <c r="O141" i="127"/>
  <c r="M141" i="127"/>
  <c r="N141" i="127" s="1"/>
  <c r="L141" i="127"/>
  <c r="J141" i="127"/>
  <c r="K141" i="127" s="1"/>
  <c r="AL140" i="127"/>
  <c r="AJ140" i="127"/>
  <c r="AH140" i="127"/>
  <c r="BQ140" i="127" s="1"/>
  <c r="AC140" i="127"/>
  <c r="Z140" i="127"/>
  <c r="W140" i="127"/>
  <c r="R140" i="127"/>
  <c r="Q140" i="127"/>
  <c r="P140" i="127"/>
  <c r="O140" i="127"/>
  <c r="N140" i="127" s="1"/>
  <c r="M140" i="127"/>
  <c r="L140" i="127"/>
  <c r="K140" i="127"/>
  <c r="J140" i="127"/>
  <c r="AL139" i="127"/>
  <c r="AJ139" i="127"/>
  <c r="AK139" i="127" s="1"/>
  <c r="AH139" i="127"/>
  <c r="CK144" i="127" s="1"/>
  <c r="AC139" i="127"/>
  <c r="Z139" i="127"/>
  <c r="W139" i="127"/>
  <c r="T139" i="127"/>
  <c r="O139" i="127"/>
  <c r="N139" i="127" s="1"/>
  <c r="M139" i="127"/>
  <c r="L139" i="127"/>
  <c r="K139" i="127" s="1"/>
  <c r="J139" i="127"/>
  <c r="AL138" i="127"/>
  <c r="AJ138" i="127"/>
  <c r="AK138" i="127" s="1"/>
  <c r="AH138" i="127"/>
  <c r="AC138" i="127"/>
  <c r="Z138" i="127"/>
  <c r="W138" i="127"/>
  <c r="T138" i="127"/>
  <c r="Q138" i="127"/>
  <c r="L138" i="127"/>
  <c r="J138" i="127"/>
  <c r="K138" i="127" s="1"/>
  <c r="AL137" i="127"/>
  <c r="AJ137" i="127"/>
  <c r="AK137" i="127" s="1"/>
  <c r="AH137" i="127"/>
  <c r="AC137" i="127"/>
  <c r="Z137" i="127"/>
  <c r="W137" i="127"/>
  <c r="T137" i="127"/>
  <c r="Q137" i="127"/>
  <c r="N137" i="127"/>
  <c r="DG132" i="127"/>
  <c r="DF132" i="127"/>
  <c r="CJ132" i="127"/>
  <c r="AL132" i="127"/>
  <c r="AK132" i="127"/>
  <c r="AJ132" i="127"/>
  <c r="DI132" i="127" s="1"/>
  <c r="AH132" i="127"/>
  <c r="AA132" i="127"/>
  <c r="Z132" i="127"/>
  <c r="Y132" i="127"/>
  <c r="X132" i="127"/>
  <c r="V132" i="127"/>
  <c r="W132" i="127" s="1"/>
  <c r="U132" i="127"/>
  <c r="S132" i="127"/>
  <c r="T132" i="127" s="1"/>
  <c r="R132" i="127"/>
  <c r="Q132" i="127" s="1"/>
  <c r="P132" i="127"/>
  <c r="O132" i="127"/>
  <c r="N132" i="127"/>
  <c r="M132" i="127"/>
  <c r="L132" i="127"/>
  <c r="J132" i="127"/>
  <c r="K132" i="127" s="1"/>
  <c r="DF131" i="127"/>
  <c r="BQ131" i="127"/>
  <c r="AL131" i="127"/>
  <c r="AK131" i="127"/>
  <c r="AJ131" i="127"/>
  <c r="AH131" i="127"/>
  <c r="AC131" i="127"/>
  <c r="X131" i="127"/>
  <c r="V131" i="127"/>
  <c r="W131" i="127" s="1"/>
  <c r="U131" i="127"/>
  <c r="T131" i="127"/>
  <c r="S131" i="127"/>
  <c r="R131" i="127"/>
  <c r="P131" i="127"/>
  <c r="Q131" i="127" s="1"/>
  <c r="O131" i="127"/>
  <c r="N131" i="127"/>
  <c r="M131" i="127"/>
  <c r="L131" i="127"/>
  <c r="J131" i="127"/>
  <c r="K131" i="127" s="1"/>
  <c r="DI130" i="127"/>
  <c r="DH130" i="127"/>
  <c r="DF130" i="127"/>
  <c r="BV130" i="127"/>
  <c r="AL130" i="127"/>
  <c r="AK130" i="127"/>
  <c r="AJ130" i="127"/>
  <c r="DG130" i="127" s="1"/>
  <c r="AH130" i="127"/>
  <c r="CB130" i="127" s="1"/>
  <c r="AC130" i="127"/>
  <c r="Z130" i="127"/>
  <c r="U130" i="127"/>
  <c r="T130" i="127"/>
  <c r="S130" i="127"/>
  <c r="R130" i="127"/>
  <c r="P130" i="127"/>
  <c r="Q130" i="127" s="1"/>
  <c r="O130" i="127"/>
  <c r="N130" i="127"/>
  <c r="M130" i="127"/>
  <c r="L130" i="127"/>
  <c r="J130" i="127"/>
  <c r="K130" i="127" s="1"/>
  <c r="AL129" i="127"/>
  <c r="DF129" i="127" s="1"/>
  <c r="AJ129" i="127"/>
  <c r="AH129" i="127"/>
  <c r="AC129" i="127"/>
  <c r="Z129" i="127"/>
  <c r="W129" i="127"/>
  <c r="R129" i="127"/>
  <c r="P129" i="127"/>
  <c r="Q129" i="127" s="1"/>
  <c r="O129" i="127"/>
  <c r="M129" i="127"/>
  <c r="N129" i="127" s="1"/>
  <c r="L129" i="127"/>
  <c r="K129" i="127"/>
  <c r="J129" i="127"/>
  <c r="BQ128" i="127"/>
  <c r="AV128" i="127"/>
  <c r="AL128" i="127"/>
  <c r="AK128" i="127"/>
  <c r="AJ128" i="127"/>
  <c r="AH128" i="127"/>
  <c r="AC128" i="127"/>
  <c r="Z128" i="127"/>
  <c r="W128" i="127"/>
  <c r="T128" i="127"/>
  <c r="O128" i="127"/>
  <c r="N128" i="127"/>
  <c r="M128" i="127"/>
  <c r="L128" i="127"/>
  <c r="J128" i="127"/>
  <c r="K128" i="127" s="1"/>
  <c r="BG127" i="127"/>
  <c r="AL127" i="127"/>
  <c r="AJ127" i="127"/>
  <c r="AK127" i="127" s="1"/>
  <c r="AH127" i="127"/>
  <c r="AC127" i="127"/>
  <c r="Z127" i="127"/>
  <c r="W127" i="127"/>
  <c r="T127" i="127"/>
  <c r="Q127" i="127"/>
  <c r="L127" i="127"/>
  <c r="J127" i="127"/>
  <c r="K127" i="127" s="1"/>
  <c r="BV126" i="127"/>
  <c r="BV127" i="127" s="1"/>
  <c r="BV129" i="127" s="1"/>
  <c r="BU126" i="127"/>
  <c r="BU127" i="127" s="1"/>
  <c r="BU129" i="127" s="1"/>
  <c r="BU130" i="127" s="1"/>
  <c r="BQ126" i="127"/>
  <c r="AR126" i="127"/>
  <c r="AL126" i="127"/>
  <c r="AJ126" i="127"/>
  <c r="AH126" i="127"/>
  <c r="BQ132" i="127" s="1"/>
  <c r="AC126" i="127"/>
  <c r="Z126" i="127"/>
  <c r="W126" i="127"/>
  <c r="T126" i="127"/>
  <c r="Q126" i="127"/>
  <c r="N126" i="127"/>
  <c r="CJ121" i="127"/>
  <c r="AL121" i="127"/>
  <c r="AJ121" i="127"/>
  <c r="AH121" i="127"/>
  <c r="AA121" i="127"/>
  <c r="Z121" i="127"/>
  <c r="Y121" i="127"/>
  <c r="X121" i="127"/>
  <c r="W121" i="127"/>
  <c r="V121" i="127"/>
  <c r="U121" i="127"/>
  <c r="S121" i="127"/>
  <c r="T121" i="127" s="1"/>
  <c r="R121" i="127"/>
  <c r="P121" i="127"/>
  <c r="Q121" i="127" s="1"/>
  <c r="O121" i="127"/>
  <c r="M121" i="127"/>
  <c r="N121" i="127" s="1"/>
  <c r="L121" i="127"/>
  <c r="K121" i="127"/>
  <c r="J121" i="127"/>
  <c r="AL120" i="127"/>
  <c r="AJ120" i="127"/>
  <c r="AK120" i="127" s="1"/>
  <c r="AH120" i="127"/>
  <c r="AC120" i="127"/>
  <c r="X120" i="127"/>
  <c r="W120" i="127"/>
  <c r="V120" i="127"/>
  <c r="U120" i="127"/>
  <c r="T120" i="127"/>
  <c r="S120" i="127"/>
  <c r="R120" i="127"/>
  <c r="Q120" i="127" s="1"/>
  <c r="P120" i="127"/>
  <c r="O120" i="127"/>
  <c r="M120" i="127"/>
  <c r="L120" i="127"/>
  <c r="K120" i="127"/>
  <c r="J120" i="127"/>
  <c r="AL119" i="127"/>
  <c r="AK119" i="127"/>
  <c r="AJ119" i="127"/>
  <c r="AH119" i="127"/>
  <c r="AC119" i="127"/>
  <c r="Z119" i="127"/>
  <c r="U119" i="127"/>
  <c r="S119" i="127"/>
  <c r="T119" i="127" s="1"/>
  <c r="R119" i="127"/>
  <c r="P119" i="127"/>
  <c r="Q119" i="127" s="1"/>
  <c r="O119" i="127"/>
  <c r="M119" i="127"/>
  <c r="N119" i="127" s="1"/>
  <c r="L119" i="127"/>
  <c r="J119" i="127"/>
  <c r="K119" i="127" s="1"/>
  <c r="AL118" i="127"/>
  <c r="AJ118" i="127"/>
  <c r="AH118" i="127"/>
  <c r="AC118" i="127"/>
  <c r="Z118" i="127"/>
  <c r="W118" i="127"/>
  <c r="R118" i="127"/>
  <c r="P118" i="127"/>
  <c r="O118" i="127"/>
  <c r="M118" i="127"/>
  <c r="L118" i="127"/>
  <c r="J118" i="127"/>
  <c r="AL117" i="127"/>
  <c r="AJ117" i="127"/>
  <c r="AH117" i="127"/>
  <c r="AC117" i="127"/>
  <c r="Z117" i="127"/>
  <c r="W117" i="127"/>
  <c r="T117" i="127"/>
  <c r="O117" i="127"/>
  <c r="M117" i="127"/>
  <c r="L117" i="127"/>
  <c r="J117" i="127"/>
  <c r="AL116" i="127"/>
  <c r="AJ116" i="127"/>
  <c r="AH116" i="127"/>
  <c r="AC116" i="127"/>
  <c r="Z116" i="127"/>
  <c r="W116" i="127"/>
  <c r="T116" i="127"/>
  <c r="Q116" i="127"/>
  <c r="L116" i="127"/>
  <c r="J116" i="127"/>
  <c r="AL115" i="127"/>
  <c r="AJ115" i="127"/>
  <c r="AH115" i="127"/>
  <c r="AC115" i="127"/>
  <c r="Z115" i="127"/>
  <c r="W115" i="127"/>
  <c r="T115" i="127"/>
  <c r="Q115" i="127"/>
  <c r="N115" i="127"/>
  <c r="CJ110" i="127"/>
  <c r="AL110" i="127"/>
  <c r="AJ110" i="127"/>
  <c r="AH110" i="127"/>
  <c r="AA110" i="127"/>
  <c r="Y110" i="127"/>
  <c r="Z110" i="127" s="1"/>
  <c r="X110" i="127"/>
  <c r="V110" i="127"/>
  <c r="W110" i="127" s="1"/>
  <c r="U110" i="127"/>
  <c r="S110" i="127"/>
  <c r="T110" i="127" s="1"/>
  <c r="R110" i="127"/>
  <c r="P110" i="127"/>
  <c r="Q110" i="127" s="1"/>
  <c r="O110" i="127"/>
  <c r="M110" i="127"/>
  <c r="N110" i="127" s="1"/>
  <c r="L110" i="127"/>
  <c r="J110" i="127"/>
  <c r="K110" i="127" s="1"/>
  <c r="AL109" i="127"/>
  <c r="AJ109" i="127"/>
  <c r="AK109" i="127" s="1"/>
  <c r="AH109" i="127"/>
  <c r="AC109" i="127"/>
  <c r="X109" i="127"/>
  <c r="V109" i="127"/>
  <c r="W109" i="127" s="1"/>
  <c r="U109" i="127"/>
  <c r="S109" i="127"/>
  <c r="T109" i="127" s="1"/>
  <c r="R109" i="127"/>
  <c r="Q109" i="127"/>
  <c r="P109" i="127"/>
  <c r="O109" i="127"/>
  <c r="N109" i="127" s="1"/>
  <c r="M109" i="127"/>
  <c r="L109" i="127"/>
  <c r="J109" i="127"/>
  <c r="K109" i="127" s="1"/>
  <c r="AL108" i="127"/>
  <c r="AJ108" i="127"/>
  <c r="AH108" i="127"/>
  <c r="AC108" i="127"/>
  <c r="Z108" i="127"/>
  <c r="U108" i="127"/>
  <c r="S108" i="127"/>
  <c r="T108" i="127" s="1"/>
  <c r="R108" i="127"/>
  <c r="P108" i="127"/>
  <c r="O108" i="127"/>
  <c r="M108" i="127"/>
  <c r="L108" i="127"/>
  <c r="K108" i="127"/>
  <c r="J108" i="127"/>
  <c r="AL107" i="127"/>
  <c r="AJ107" i="127"/>
  <c r="AH107" i="127"/>
  <c r="AC107" i="127"/>
  <c r="Z107" i="127"/>
  <c r="W107" i="127"/>
  <c r="R107" i="127"/>
  <c r="P107" i="127"/>
  <c r="Q107" i="127" s="1"/>
  <c r="O107" i="127"/>
  <c r="M107" i="127"/>
  <c r="L107" i="127"/>
  <c r="J107" i="127"/>
  <c r="AL106" i="127"/>
  <c r="AJ106" i="127"/>
  <c r="AH106" i="127"/>
  <c r="AC106" i="127"/>
  <c r="Z106" i="127"/>
  <c r="W106" i="127"/>
  <c r="T106" i="127"/>
  <c r="O106" i="127"/>
  <c r="M106" i="127"/>
  <c r="L106" i="127"/>
  <c r="J106" i="127"/>
  <c r="AL105" i="127"/>
  <c r="AJ105" i="127"/>
  <c r="AK105" i="127" s="1"/>
  <c r="AH105" i="127"/>
  <c r="AC105" i="127"/>
  <c r="Z105" i="127"/>
  <c r="W105" i="127"/>
  <c r="T105" i="127"/>
  <c r="Q105" i="127"/>
  <c r="L105" i="127"/>
  <c r="J105" i="127"/>
  <c r="AL104" i="127"/>
  <c r="AJ104" i="127"/>
  <c r="AH104" i="127"/>
  <c r="AC104" i="127"/>
  <c r="Z104" i="127"/>
  <c r="W104" i="127"/>
  <c r="T104" i="127"/>
  <c r="Q104" i="127"/>
  <c r="N104" i="127"/>
  <c r="CJ99" i="127"/>
  <c r="AL99" i="127"/>
  <c r="AK99" i="127"/>
  <c r="AJ99" i="127"/>
  <c r="AH99" i="127"/>
  <c r="AA99" i="127"/>
  <c r="Z99" i="127" s="1"/>
  <c r="Y99" i="127"/>
  <c r="X99" i="127"/>
  <c r="V99" i="127"/>
  <c r="W99" i="127" s="1"/>
  <c r="U99" i="127"/>
  <c r="T99" i="127"/>
  <c r="S99" i="127"/>
  <c r="R99" i="127"/>
  <c r="P99" i="127"/>
  <c r="Q99" i="127" s="1"/>
  <c r="O99" i="127"/>
  <c r="N99" i="127"/>
  <c r="M99" i="127"/>
  <c r="L99" i="127"/>
  <c r="K99" i="127"/>
  <c r="J99" i="127"/>
  <c r="AL98" i="127"/>
  <c r="AK98" i="127"/>
  <c r="AJ98" i="127"/>
  <c r="AH98" i="127"/>
  <c r="AC98" i="127"/>
  <c r="X98" i="127"/>
  <c r="V98" i="127"/>
  <c r="W98" i="127" s="1"/>
  <c r="U98" i="127"/>
  <c r="S98" i="127"/>
  <c r="T98" i="127" s="1"/>
  <c r="R98" i="127"/>
  <c r="P98" i="127"/>
  <c r="Q98" i="127" s="1"/>
  <c r="O98" i="127"/>
  <c r="N98" i="127"/>
  <c r="M98" i="127"/>
  <c r="L98" i="127"/>
  <c r="J98" i="127"/>
  <c r="K98" i="127" s="1"/>
  <c r="AL97" i="127"/>
  <c r="AJ97" i="127"/>
  <c r="AK97" i="127" s="1"/>
  <c r="AH97" i="127"/>
  <c r="AC97" i="127"/>
  <c r="Z97" i="127"/>
  <c r="U97" i="127"/>
  <c r="T97" i="127"/>
  <c r="S97" i="127"/>
  <c r="R97" i="127"/>
  <c r="P97" i="127"/>
  <c r="Q97" i="127" s="1"/>
  <c r="O97" i="127"/>
  <c r="M97" i="127"/>
  <c r="L97" i="127"/>
  <c r="J97" i="127"/>
  <c r="K97" i="127" s="1"/>
  <c r="AL96" i="127"/>
  <c r="AJ96" i="127"/>
  <c r="AH96" i="127"/>
  <c r="AC96" i="127"/>
  <c r="Z96" i="127"/>
  <c r="W96" i="127"/>
  <c r="R96" i="127"/>
  <c r="P96" i="127"/>
  <c r="O96" i="127"/>
  <c r="M96" i="127"/>
  <c r="L96" i="127"/>
  <c r="J96" i="127"/>
  <c r="K96" i="127" s="1"/>
  <c r="AL95" i="127"/>
  <c r="AJ95" i="127"/>
  <c r="AH95" i="127"/>
  <c r="AC95" i="127"/>
  <c r="Z95" i="127"/>
  <c r="W95" i="127"/>
  <c r="T95" i="127"/>
  <c r="O95" i="127"/>
  <c r="N95" i="127" s="1"/>
  <c r="M95" i="127"/>
  <c r="L95" i="127"/>
  <c r="K95" i="127" s="1"/>
  <c r="J95" i="127"/>
  <c r="AL94" i="127"/>
  <c r="AJ94" i="127"/>
  <c r="AH94" i="127"/>
  <c r="AC94" i="127"/>
  <c r="Z94" i="127"/>
  <c r="W94" i="127"/>
  <c r="T94" i="127"/>
  <c r="Q94" i="127"/>
  <c r="L94" i="127"/>
  <c r="J94" i="127"/>
  <c r="K94" i="127" s="1"/>
  <c r="AL93" i="127"/>
  <c r="AJ93" i="127"/>
  <c r="AH93" i="127"/>
  <c r="AC93" i="127"/>
  <c r="Z93" i="127"/>
  <c r="W93" i="127"/>
  <c r="T93" i="127"/>
  <c r="Q93" i="127"/>
  <c r="N93" i="127"/>
  <c r="CJ88" i="127"/>
  <c r="AL88" i="127"/>
  <c r="AJ88" i="127"/>
  <c r="AH88" i="127"/>
  <c r="AA88" i="127"/>
  <c r="Y88" i="127"/>
  <c r="Z88" i="127" s="1"/>
  <c r="X88" i="127"/>
  <c r="W88" i="127"/>
  <c r="V88" i="127"/>
  <c r="U88" i="127"/>
  <c r="S88" i="127"/>
  <c r="R88" i="127"/>
  <c r="Q88" i="127"/>
  <c r="P88" i="127"/>
  <c r="O88" i="127"/>
  <c r="N88" i="127"/>
  <c r="M88" i="127"/>
  <c r="L88" i="127"/>
  <c r="K88" i="127"/>
  <c r="J88" i="127"/>
  <c r="AL87" i="127"/>
  <c r="AJ87" i="127"/>
  <c r="AK87" i="127" s="1"/>
  <c r="AH87" i="127"/>
  <c r="AC87" i="127"/>
  <c r="X87" i="127"/>
  <c r="W87" i="127"/>
  <c r="V87" i="127"/>
  <c r="U87" i="127"/>
  <c r="S87" i="127"/>
  <c r="T87" i="127" s="1"/>
  <c r="R87" i="127"/>
  <c r="P87" i="127"/>
  <c r="Q87" i="127" s="1"/>
  <c r="O87" i="127"/>
  <c r="M87" i="127"/>
  <c r="L87" i="127"/>
  <c r="K87" i="127"/>
  <c r="J87" i="127"/>
  <c r="AL86" i="127"/>
  <c r="AJ86" i="127"/>
  <c r="AK86" i="127" s="1"/>
  <c r="AH86" i="127"/>
  <c r="AC86" i="127"/>
  <c r="Z86" i="127"/>
  <c r="U86" i="127"/>
  <c r="S86" i="127"/>
  <c r="R86" i="127"/>
  <c r="Q86" i="127"/>
  <c r="P86" i="127"/>
  <c r="O86" i="127"/>
  <c r="M86" i="127"/>
  <c r="N86" i="127" s="1"/>
  <c r="L86" i="127"/>
  <c r="J86" i="127"/>
  <c r="K86" i="127" s="1"/>
  <c r="AL85" i="127"/>
  <c r="AJ85" i="127"/>
  <c r="AH85" i="127"/>
  <c r="AC85" i="127"/>
  <c r="Z85" i="127"/>
  <c r="W85" i="127"/>
  <c r="R85" i="127"/>
  <c r="Q85" i="127"/>
  <c r="P85" i="127"/>
  <c r="O85" i="127"/>
  <c r="M85" i="127"/>
  <c r="L85" i="127"/>
  <c r="J85" i="127"/>
  <c r="K85" i="127" s="1"/>
  <c r="AL84" i="127"/>
  <c r="AJ84" i="127"/>
  <c r="AK84" i="127" s="1"/>
  <c r="AH84" i="127"/>
  <c r="AC84" i="127"/>
  <c r="Z84" i="127"/>
  <c r="W84" i="127"/>
  <c r="T84" i="127"/>
  <c r="O84" i="127"/>
  <c r="M84" i="127"/>
  <c r="L84" i="127"/>
  <c r="J84" i="127"/>
  <c r="AL83" i="127"/>
  <c r="AJ83" i="127"/>
  <c r="AH83" i="127"/>
  <c r="AC83" i="127"/>
  <c r="Z83" i="127"/>
  <c r="W83" i="127"/>
  <c r="T83" i="127"/>
  <c r="Q83" i="127"/>
  <c r="L83" i="127"/>
  <c r="J83" i="127"/>
  <c r="AL82" i="127"/>
  <c r="AJ82" i="127"/>
  <c r="AH82" i="127"/>
  <c r="AC82" i="127"/>
  <c r="Z82" i="127"/>
  <c r="W82" i="127"/>
  <c r="T82" i="127"/>
  <c r="Q82" i="127"/>
  <c r="N82" i="127"/>
  <c r="CJ77" i="127"/>
  <c r="AL77" i="127"/>
  <c r="AK77" i="127" s="1"/>
  <c r="AJ77" i="127"/>
  <c r="AH77" i="127"/>
  <c r="AA77" i="127"/>
  <c r="Z77" i="127"/>
  <c r="Y77" i="127"/>
  <c r="X77" i="127"/>
  <c r="V77" i="127"/>
  <c r="W77" i="127" s="1"/>
  <c r="U77" i="127"/>
  <c r="S77" i="127"/>
  <c r="T77" i="127" s="1"/>
  <c r="R77" i="127"/>
  <c r="P77" i="127"/>
  <c r="O77" i="127"/>
  <c r="M77" i="127"/>
  <c r="N77" i="127" s="1"/>
  <c r="L77" i="127"/>
  <c r="J77" i="127"/>
  <c r="K77" i="127" s="1"/>
  <c r="AL76" i="127"/>
  <c r="AJ76" i="127"/>
  <c r="AK76" i="127" s="1"/>
  <c r="AH76" i="127"/>
  <c r="AC76" i="127"/>
  <c r="X76" i="127"/>
  <c r="W76" i="127"/>
  <c r="V76" i="127"/>
  <c r="U76" i="127"/>
  <c r="T76" i="127"/>
  <c r="S76" i="127"/>
  <c r="R76" i="127"/>
  <c r="Q76" i="127" s="1"/>
  <c r="P76" i="127"/>
  <c r="O76" i="127"/>
  <c r="N76" i="127"/>
  <c r="M76" i="127"/>
  <c r="L76" i="127"/>
  <c r="K76" i="127"/>
  <c r="J76" i="127"/>
  <c r="AL75" i="127"/>
  <c r="AJ75" i="127"/>
  <c r="AH75" i="127"/>
  <c r="AC75" i="127"/>
  <c r="Z75" i="127"/>
  <c r="U75" i="127"/>
  <c r="S75" i="127"/>
  <c r="R75" i="127"/>
  <c r="P75" i="127"/>
  <c r="O75" i="127"/>
  <c r="M75" i="127"/>
  <c r="L75" i="127"/>
  <c r="K75" i="127" s="1"/>
  <c r="J75" i="127"/>
  <c r="AL74" i="127"/>
  <c r="AJ74" i="127"/>
  <c r="AH74" i="127"/>
  <c r="AC74" i="127"/>
  <c r="Z74" i="127"/>
  <c r="W74" i="127"/>
  <c r="R74" i="127"/>
  <c r="P74" i="127"/>
  <c r="O74" i="127"/>
  <c r="M74" i="127"/>
  <c r="L74" i="127"/>
  <c r="J74" i="127"/>
  <c r="K74" i="127" s="1"/>
  <c r="AL73" i="127"/>
  <c r="AJ73" i="127"/>
  <c r="AH73" i="127"/>
  <c r="AC73" i="127"/>
  <c r="Z73" i="127"/>
  <c r="W73" i="127"/>
  <c r="T73" i="127"/>
  <c r="O73" i="127"/>
  <c r="M73" i="127"/>
  <c r="L73" i="127"/>
  <c r="J73" i="127"/>
  <c r="AL72" i="127"/>
  <c r="AJ72" i="127"/>
  <c r="AH72" i="127"/>
  <c r="AC72" i="127"/>
  <c r="Z72" i="127"/>
  <c r="W72" i="127"/>
  <c r="T72" i="127"/>
  <c r="Q72" i="127"/>
  <c r="L72" i="127"/>
  <c r="J72" i="127"/>
  <c r="AL71" i="127"/>
  <c r="AJ71" i="127"/>
  <c r="AH71" i="127"/>
  <c r="AC71" i="127"/>
  <c r="Z71" i="127"/>
  <c r="W71" i="127"/>
  <c r="T71" i="127"/>
  <c r="Q71" i="127"/>
  <c r="N71" i="127"/>
  <c r="CJ66" i="127"/>
  <c r="AL66" i="127"/>
  <c r="AJ66" i="127"/>
  <c r="AH66" i="127"/>
  <c r="AA66" i="127"/>
  <c r="Y66" i="127"/>
  <c r="Z66" i="127" s="1"/>
  <c r="X66" i="127"/>
  <c r="W66" i="127"/>
  <c r="V66" i="127"/>
  <c r="U66" i="127"/>
  <c r="S66" i="127"/>
  <c r="T66" i="127" s="1"/>
  <c r="R66" i="127"/>
  <c r="Q66" i="127"/>
  <c r="P66" i="127"/>
  <c r="O66" i="127"/>
  <c r="M66" i="127"/>
  <c r="N66" i="127" s="1"/>
  <c r="L66" i="127"/>
  <c r="K66" i="127"/>
  <c r="J66" i="127"/>
  <c r="AL65" i="127"/>
  <c r="AJ65" i="127"/>
  <c r="AH65" i="127"/>
  <c r="AC65" i="127"/>
  <c r="X65" i="127"/>
  <c r="W65" i="127" s="1"/>
  <c r="V65" i="127"/>
  <c r="U65" i="127"/>
  <c r="T65" i="127"/>
  <c r="S65" i="127"/>
  <c r="R65" i="127"/>
  <c r="Q65" i="127"/>
  <c r="P65" i="127"/>
  <c r="O65" i="127"/>
  <c r="N65" i="127"/>
  <c r="M65" i="127"/>
  <c r="L65" i="127"/>
  <c r="K65" i="127" s="1"/>
  <c r="J65" i="127"/>
  <c r="AL64" i="127"/>
  <c r="AK64" i="127"/>
  <c r="AJ64" i="127"/>
  <c r="AH64" i="127"/>
  <c r="AC64" i="127"/>
  <c r="Z64" i="127"/>
  <c r="U64" i="127"/>
  <c r="T64" i="127"/>
  <c r="S64" i="127"/>
  <c r="R64" i="127"/>
  <c r="Q64" i="127"/>
  <c r="P64" i="127"/>
  <c r="O64" i="127"/>
  <c r="N64" i="127"/>
  <c r="M64" i="127"/>
  <c r="L64" i="127"/>
  <c r="K64" i="127"/>
  <c r="J64" i="127"/>
  <c r="AL63" i="127"/>
  <c r="AJ63" i="127"/>
  <c r="AH63" i="127"/>
  <c r="AC63" i="127"/>
  <c r="Z63" i="127"/>
  <c r="W63" i="127"/>
  <c r="R63" i="127"/>
  <c r="P63" i="127"/>
  <c r="O63" i="127"/>
  <c r="M63" i="127"/>
  <c r="L63" i="127"/>
  <c r="J63" i="127"/>
  <c r="K63" i="127" s="1"/>
  <c r="AL62" i="127"/>
  <c r="AJ62" i="127"/>
  <c r="AH62" i="127"/>
  <c r="AC62" i="127"/>
  <c r="Z62" i="127"/>
  <c r="W62" i="127"/>
  <c r="T62" i="127"/>
  <c r="O62" i="127"/>
  <c r="M62" i="127"/>
  <c r="L62" i="127"/>
  <c r="J62" i="127"/>
  <c r="AL61" i="127"/>
  <c r="AJ61" i="127"/>
  <c r="AH61" i="127"/>
  <c r="AC61" i="127"/>
  <c r="Z61" i="127"/>
  <c r="W61" i="127"/>
  <c r="T61" i="127"/>
  <c r="Q61" i="127"/>
  <c r="L61" i="127"/>
  <c r="J61" i="127"/>
  <c r="CQ60" i="127"/>
  <c r="CP60" i="127"/>
  <c r="CO60" i="127"/>
  <c r="AL60" i="127"/>
  <c r="AJ60" i="127"/>
  <c r="AH60" i="127"/>
  <c r="AC60" i="127"/>
  <c r="Z60" i="127"/>
  <c r="W60" i="127"/>
  <c r="T60" i="127"/>
  <c r="Q60" i="127"/>
  <c r="N60" i="127"/>
  <c r="CQ59" i="127"/>
  <c r="CP59" i="127"/>
  <c r="CO59" i="127"/>
  <c r="CQ58" i="127"/>
  <c r="CP58" i="127"/>
  <c r="CO58" i="127"/>
  <c r="CQ57" i="127"/>
  <c r="CP57" i="127"/>
  <c r="CO57" i="127"/>
  <c r="CQ56" i="127"/>
  <c r="CP56" i="127"/>
  <c r="CO56" i="127"/>
  <c r="CQ55" i="127"/>
  <c r="CP55" i="127"/>
  <c r="CO55" i="127"/>
  <c r="CQ54" i="127"/>
  <c r="CP54" i="127"/>
  <c r="CO54" i="127"/>
  <c r="CQ53" i="127"/>
  <c r="CP53" i="127"/>
  <c r="CO53" i="127"/>
  <c r="CQ52" i="127"/>
  <c r="CP52" i="127"/>
  <c r="CO52" i="127"/>
  <c r="CQ51" i="127"/>
  <c r="CP51" i="127"/>
  <c r="CO51" i="127"/>
  <c r="O51" i="127"/>
  <c r="CQ50" i="127"/>
  <c r="CP50" i="127"/>
  <c r="CO50" i="127"/>
  <c r="CQ49" i="127"/>
  <c r="CP49" i="127"/>
  <c r="CO49" i="127"/>
  <c r="CQ48" i="127"/>
  <c r="CP48" i="127"/>
  <c r="CO48" i="127"/>
  <c r="CQ47" i="127"/>
  <c r="CP47" i="127"/>
  <c r="CO47" i="127"/>
  <c r="CX46" i="127"/>
  <c r="CV46" i="127"/>
  <c r="CV51" i="127" s="1"/>
  <c r="CQ46" i="127"/>
  <c r="CP46" i="127"/>
  <c r="CO46" i="127"/>
  <c r="CQ45" i="127"/>
  <c r="CP45" i="127"/>
  <c r="CO45" i="127"/>
  <c r="CX44" i="127"/>
  <c r="CX50" i="127" s="1"/>
  <c r="CV44" i="127"/>
  <c r="CQ44" i="127"/>
  <c r="CP44" i="127"/>
  <c r="CO44" i="127"/>
  <c r="CQ43" i="127"/>
  <c r="CP43" i="127"/>
  <c r="CO43" i="127"/>
  <c r="CX42" i="127"/>
  <c r="CV42" i="127"/>
  <c r="CQ42" i="127"/>
  <c r="CP42" i="127"/>
  <c r="CO42" i="127"/>
  <c r="CQ41" i="127"/>
  <c r="CP41" i="127"/>
  <c r="CO41" i="127"/>
  <c r="CX40" i="127"/>
  <c r="CX48" i="127" s="1"/>
  <c r="CV40" i="127"/>
  <c r="CQ40" i="127"/>
  <c r="CP40" i="127"/>
  <c r="CO40" i="127"/>
  <c r="BX40" i="127"/>
  <c r="BV40" i="127"/>
  <c r="BT40" i="127"/>
  <c r="CQ39" i="127"/>
  <c r="CP39" i="127"/>
  <c r="CO39" i="127"/>
  <c r="CQ38" i="127"/>
  <c r="CP38" i="127"/>
  <c r="CO38" i="127"/>
  <c r="BT38" i="127"/>
  <c r="BQ38" i="127"/>
  <c r="BQ40" i="127" s="1"/>
  <c r="CQ37" i="127"/>
  <c r="CP37" i="127"/>
  <c r="CO37" i="127"/>
  <c r="CQ36" i="127"/>
  <c r="CP36" i="127"/>
  <c r="CO36" i="127"/>
  <c r="O36" i="127"/>
  <c r="CQ35" i="127"/>
  <c r="CP35" i="127"/>
  <c r="CO35" i="127"/>
  <c r="CQ34" i="127"/>
  <c r="CP34" i="127"/>
  <c r="CO34" i="127"/>
  <c r="CQ33" i="127"/>
  <c r="CP33" i="127"/>
  <c r="CO33" i="127"/>
  <c r="CQ32" i="127"/>
  <c r="CP32" i="127"/>
  <c r="CO32" i="127"/>
  <c r="CQ31" i="127"/>
  <c r="CP31" i="127"/>
  <c r="CO31" i="127"/>
  <c r="CQ30" i="127"/>
  <c r="CP30" i="127"/>
  <c r="CO30" i="127"/>
  <c r="BG30" i="127"/>
  <c r="CQ29" i="127"/>
  <c r="CP29" i="127"/>
  <c r="CO29" i="127"/>
  <c r="CQ28" i="127"/>
  <c r="CP28" i="127"/>
  <c r="CO28" i="127"/>
  <c r="CQ27" i="127"/>
  <c r="CP27" i="127"/>
  <c r="CO27" i="127"/>
  <c r="CQ26" i="127"/>
  <c r="CP26" i="127"/>
  <c r="CO26" i="127"/>
  <c r="B26" i="127"/>
  <c r="CQ25" i="127"/>
  <c r="CP25" i="127"/>
  <c r="CO25" i="127"/>
  <c r="CQ24" i="127"/>
  <c r="CP24" i="127"/>
  <c r="CO24" i="127"/>
  <c r="E24" i="127"/>
  <c r="CQ23" i="127"/>
  <c r="CP23" i="127"/>
  <c r="CO23" i="127"/>
  <c r="CQ22" i="127"/>
  <c r="CP22" i="127"/>
  <c r="CO22" i="127"/>
  <c r="CQ21" i="127"/>
  <c r="CP21" i="127"/>
  <c r="CO21" i="127"/>
  <c r="CQ20" i="127"/>
  <c r="CP20" i="127"/>
  <c r="CO20" i="127"/>
  <c r="B20" i="127"/>
  <c r="BG31" i="127" s="1"/>
  <c r="CQ19" i="127"/>
  <c r="CP19" i="127"/>
  <c r="CO19" i="127"/>
  <c r="CQ18" i="127"/>
  <c r="CP18" i="127"/>
  <c r="CO18" i="127"/>
  <c r="CQ17" i="127"/>
  <c r="CP17" i="127"/>
  <c r="CO17" i="127"/>
  <c r="CQ16" i="127"/>
  <c r="CP16" i="127"/>
  <c r="CO16" i="127"/>
  <c r="CQ15" i="127"/>
  <c r="CP15" i="127"/>
  <c r="CO15" i="127"/>
  <c r="CQ14" i="127"/>
  <c r="CP14" i="127"/>
  <c r="CO14" i="127"/>
  <c r="CQ13" i="127"/>
  <c r="CP13" i="127"/>
  <c r="CO13" i="127"/>
  <c r="CQ12" i="127"/>
  <c r="CP12" i="127"/>
  <c r="CO12" i="127"/>
  <c r="CQ11" i="127"/>
  <c r="CP11" i="127"/>
  <c r="CO11" i="127"/>
  <c r="CQ10" i="127"/>
  <c r="CP10" i="127"/>
  <c r="CO10" i="127"/>
  <c r="CQ9" i="127"/>
  <c r="CP9" i="127"/>
  <c r="CO9" i="127"/>
  <c r="CQ8" i="127"/>
  <c r="CP8" i="127"/>
  <c r="CO8" i="127"/>
  <c r="CQ7" i="127"/>
  <c r="CP7" i="127"/>
  <c r="CO7" i="127"/>
  <c r="CQ6" i="127"/>
  <c r="CP6" i="127"/>
  <c r="CO6" i="127"/>
  <c r="CQ5" i="127"/>
  <c r="CP5" i="127"/>
  <c r="CO5" i="127"/>
  <c r="BJ5" i="127"/>
  <c r="B5" i="127"/>
  <c r="AK118" i="127" l="1"/>
  <c r="K118" i="127"/>
  <c r="N118" i="127"/>
  <c r="N117" i="127"/>
  <c r="K116" i="127"/>
  <c r="N107" i="127"/>
  <c r="AK104" i="127"/>
  <c r="AK107" i="127"/>
  <c r="K106" i="127"/>
  <c r="Q96" i="127"/>
  <c r="N85" i="127"/>
  <c r="K61" i="127"/>
  <c r="DF156" i="127"/>
  <c r="DG156" i="127" s="1"/>
  <c r="Q118" i="127"/>
  <c r="AK117" i="127"/>
  <c r="K117" i="127"/>
  <c r="AK115" i="127"/>
  <c r="BQ119" i="127"/>
  <c r="AK116" i="127"/>
  <c r="N108" i="127"/>
  <c r="AK106" i="127"/>
  <c r="BQ110" i="127"/>
  <c r="K107" i="127"/>
  <c r="AR104" i="127"/>
  <c r="BG107" i="127"/>
  <c r="AR109" i="127"/>
  <c r="CK111" i="127"/>
  <c r="BQ106" i="127"/>
  <c r="BG109" i="127"/>
  <c r="BQ108" i="127"/>
  <c r="BV104" i="127"/>
  <c r="BV105" i="127" s="1"/>
  <c r="BV107" i="127" s="1"/>
  <c r="BV108" i="127" s="1"/>
  <c r="CB104" i="127"/>
  <c r="AR105" i="127"/>
  <c r="BQ109" i="127"/>
  <c r="K105" i="127"/>
  <c r="CB109" i="127"/>
  <c r="BG99" i="127"/>
  <c r="N97" i="127"/>
  <c r="N96" i="127"/>
  <c r="AK96" i="127"/>
  <c r="AK95" i="127"/>
  <c r="AR94" i="127"/>
  <c r="BT93" i="127"/>
  <c r="BT94" i="127" s="1"/>
  <c r="BT96" i="127" s="1"/>
  <c r="BT97" i="127" s="1"/>
  <c r="BG94" i="127"/>
  <c r="AV99" i="127"/>
  <c r="BU93" i="127"/>
  <c r="BU94" i="127" s="1"/>
  <c r="BU96" i="127" s="1"/>
  <c r="BU97" i="127" s="1"/>
  <c r="AV98" i="127"/>
  <c r="CB95" i="127"/>
  <c r="BG93" i="127"/>
  <c r="BQ93" i="127"/>
  <c r="BW93" i="127"/>
  <c r="BW94" i="127" s="1"/>
  <c r="BW96" i="127" s="1"/>
  <c r="BW97" i="127" s="1"/>
  <c r="BQ94" i="127"/>
  <c r="CB99" i="127"/>
  <c r="AV96" i="127"/>
  <c r="AR98" i="127"/>
  <c r="CK100" i="127"/>
  <c r="AR95" i="127"/>
  <c r="BQ95" i="127"/>
  <c r="BQ98" i="127"/>
  <c r="AR96" i="127"/>
  <c r="CB97" i="127"/>
  <c r="AV97" i="127"/>
  <c r="N63" i="127"/>
  <c r="T75" i="127"/>
  <c r="N75" i="127"/>
  <c r="Q75" i="127"/>
  <c r="CX49" i="127"/>
  <c r="BT42" i="127"/>
  <c r="V52" i="127"/>
  <c r="AK85" i="127"/>
  <c r="CB82" i="127"/>
  <c r="K84" i="127"/>
  <c r="AK82" i="127"/>
  <c r="AK83" i="127"/>
  <c r="K83" i="127"/>
  <c r="Q74" i="127"/>
  <c r="AK74" i="127"/>
  <c r="AK75" i="127"/>
  <c r="AK72" i="127"/>
  <c r="N74" i="127"/>
  <c r="N73" i="127"/>
  <c r="CB71" i="127"/>
  <c r="K73" i="127"/>
  <c r="AK73" i="127"/>
  <c r="AK71" i="127"/>
  <c r="K72" i="127"/>
  <c r="AV77" i="127"/>
  <c r="BG72" i="127"/>
  <c r="CB74" i="127"/>
  <c r="Q63" i="127"/>
  <c r="CB61" i="127"/>
  <c r="N62" i="127"/>
  <c r="AK62" i="127"/>
  <c r="AK63" i="127"/>
  <c r="BQ66" i="127"/>
  <c r="K62" i="127"/>
  <c r="BT60" i="127"/>
  <c r="BT61" i="127" s="1"/>
  <c r="BT63" i="127" s="1"/>
  <c r="BT64" i="127" s="1"/>
  <c r="AK60" i="127"/>
  <c r="AV62" i="127"/>
  <c r="AK61" i="127"/>
  <c r="CK67" i="127"/>
  <c r="CV48" i="127"/>
  <c r="CZ48" i="127" s="1"/>
  <c r="DF48" i="127" s="1"/>
  <c r="L148" i="127"/>
  <c r="B60" i="127"/>
  <c r="E64" i="127" s="1"/>
  <c r="CS40" i="127"/>
  <c r="CS37" i="127"/>
  <c r="CS45" i="127"/>
  <c r="CS24" i="127"/>
  <c r="CS56" i="127"/>
  <c r="CP61" i="127"/>
  <c r="F222" i="127" s="1"/>
  <c r="DA50" i="127"/>
  <c r="DG50" i="127" s="1"/>
  <c r="BH249" i="127"/>
  <c r="BH247" i="127"/>
  <c r="BH245" i="127"/>
  <c r="BH243" i="127"/>
  <c r="BH241" i="127"/>
  <c r="BH239" i="127"/>
  <c r="AA239" i="127" s="1"/>
  <c r="AL239" i="127" s="1"/>
  <c r="BH237" i="127"/>
  <c r="AA237" i="127" s="1"/>
  <c r="AL237" i="127" s="1"/>
  <c r="BH248" i="127"/>
  <c r="BH246" i="127"/>
  <c r="BH244" i="127"/>
  <c r="BH242" i="127"/>
  <c r="BB229" i="127"/>
  <c r="BH240" i="127"/>
  <c r="AA240" i="127" s="1"/>
  <c r="AL240" i="127" s="1"/>
  <c r="BF234" i="127"/>
  <c r="BB230" i="127"/>
  <c r="BB231" i="127"/>
  <c r="BH238" i="127"/>
  <c r="AA238" i="127" s="1"/>
  <c r="AL238" i="127" s="1"/>
  <c r="BB233" i="127"/>
  <c r="BD234" i="127"/>
  <c r="BB232" i="127"/>
  <c r="BH236" i="127"/>
  <c r="AA236" i="127" s="1"/>
  <c r="AL236" i="127" s="1"/>
  <c r="F223" i="127"/>
  <c r="CS61" i="127"/>
  <c r="H33" i="127" s="1"/>
  <c r="DA48" i="127"/>
  <c r="DG48" i="127" s="1"/>
  <c r="CZ51" i="127"/>
  <c r="DF51" i="127" s="1"/>
  <c r="CS10" i="127"/>
  <c r="H115" i="127" s="1"/>
  <c r="BQ65" i="127"/>
  <c r="CS7" i="127"/>
  <c r="H82" i="127" s="1"/>
  <c r="BL38" i="127"/>
  <c r="DA49" i="127"/>
  <c r="DG49" i="127" s="1"/>
  <c r="CS54" i="127"/>
  <c r="AR60" i="127"/>
  <c r="BV60" i="127"/>
  <c r="BV61" i="127" s="1"/>
  <c r="BV63" i="127" s="1"/>
  <c r="BV64" i="127" s="1"/>
  <c r="AR63" i="127"/>
  <c r="AR64" i="127"/>
  <c r="D65" i="127"/>
  <c r="CS50" i="127"/>
  <c r="CS17" i="127"/>
  <c r="H75" i="127" s="1"/>
  <c r="CV50" i="127"/>
  <c r="BU60" i="127"/>
  <c r="BU61" i="127" s="1"/>
  <c r="BU63" i="127" s="1"/>
  <c r="BU64" i="127" s="1"/>
  <c r="BG66" i="127"/>
  <c r="CS15" i="127"/>
  <c r="CS22" i="127"/>
  <c r="H117" i="127" s="1"/>
  <c r="CS27" i="127"/>
  <c r="CS35" i="127"/>
  <c r="CS51" i="127"/>
  <c r="O55" i="127"/>
  <c r="CS57" i="127"/>
  <c r="BW60" i="127"/>
  <c r="BW61" i="127" s="1"/>
  <c r="BW63" i="127" s="1"/>
  <c r="BW64" i="127" s="1"/>
  <c r="BQ62" i="127"/>
  <c r="AV63" i="127"/>
  <c r="AV64" i="127"/>
  <c r="F65" i="127"/>
  <c r="B71" i="127"/>
  <c r="BU71" i="127"/>
  <c r="BU72" i="127" s="1"/>
  <c r="BU74" i="127" s="1"/>
  <c r="BU75" i="127" s="1"/>
  <c r="CS39" i="127"/>
  <c r="H138" i="127"/>
  <c r="H137" i="127"/>
  <c r="B137" i="127"/>
  <c r="H139" i="127"/>
  <c r="AV76" i="127"/>
  <c r="AR76" i="127"/>
  <c r="CB76" i="127"/>
  <c r="BG76" i="127"/>
  <c r="CS11" i="127"/>
  <c r="CS32" i="127"/>
  <c r="H126" i="127"/>
  <c r="H128" i="127"/>
  <c r="B126" i="127"/>
  <c r="H127" i="127"/>
  <c r="BG60" i="127"/>
  <c r="BQ61" i="127"/>
  <c r="CS12" i="127"/>
  <c r="H73" i="127" s="1"/>
  <c r="CS30" i="127"/>
  <c r="CS47" i="127"/>
  <c r="AV60" i="127"/>
  <c r="BX60" i="127"/>
  <c r="BX61" i="127" s="1"/>
  <c r="BX63" i="127" s="1"/>
  <c r="BX64" i="127" s="1"/>
  <c r="H65" i="127"/>
  <c r="AV65" i="127"/>
  <c r="CB65" i="127"/>
  <c r="AR66" i="127"/>
  <c r="CS5" i="127"/>
  <c r="CS13" i="127"/>
  <c r="H84" i="127" s="1"/>
  <c r="CS20" i="127"/>
  <c r="H95" i="127" s="1"/>
  <c r="CS41" i="127"/>
  <c r="CX51" i="127"/>
  <c r="CS60" i="127"/>
  <c r="BG61" i="127"/>
  <c r="AK66" i="127"/>
  <c r="BG75" i="127"/>
  <c r="Q77" i="127"/>
  <c r="CS18" i="127"/>
  <c r="CS25" i="127"/>
  <c r="CS33" i="127"/>
  <c r="CS52" i="127"/>
  <c r="CS59" i="127"/>
  <c r="BQ64" i="127"/>
  <c r="BQ63" i="127"/>
  <c r="CB60" i="127"/>
  <c r="AR61" i="127"/>
  <c r="CB62" i="127"/>
  <c r="CB66" i="127"/>
  <c r="AR71" i="127"/>
  <c r="CB72" i="127"/>
  <c r="CD71" i="127" s="1"/>
  <c r="BG83" i="127"/>
  <c r="AV83" i="127"/>
  <c r="AR83" i="127"/>
  <c r="CB83" i="127"/>
  <c r="B82" i="127"/>
  <c r="CS8" i="127"/>
  <c r="H83" i="127" s="1"/>
  <c r="BD12" i="127"/>
  <c r="CS28" i="127"/>
  <c r="CS43" i="127"/>
  <c r="CS55" i="127"/>
  <c r="CS58" i="127"/>
  <c r="D66" i="127"/>
  <c r="D64" i="127"/>
  <c r="E63" i="127"/>
  <c r="E65" i="127"/>
  <c r="BG62" i="127"/>
  <c r="CB63" i="127"/>
  <c r="CB64" i="127"/>
  <c r="H116" i="127"/>
  <c r="B115" i="127"/>
  <c r="CS23" i="127"/>
  <c r="CS36" i="127"/>
  <c r="CS38" i="127"/>
  <c r="CS48" i="127"/>
  <c r="D60" i="127"/>
  <c r="AV61" i="127"/>
  <c r="E66" i="127"/>
  <c r="BQ74" i="127"/>
  <c r="CS6" i="127"/>
  <c r="H71" i="127" s="1"/>
  <c r="CS14" i="127"/>
  <c r="H63" i="127" s="1"/>
  <c r="CS16" i="127"/>
  <c r="CS31" i="127"/>
  <c r="BQ60" i="127"/>
  <c r="AR62" i="127"/>
  <c r="BG63" i="127"/>
  <c r="BG64" i="127"/>
  <c r="AR65" i="127"/>
  <c r="BG65" i="127"/>
  <c r="F66" i="127"/>
  <c r="AR75" i="127"/>
  <c r="CK122" i="127"/>
  <c r="BQ120" i="127"/>
  <c r="BQ118" i="127"/>
  <c r="AV120" i="127"/>
  <c r="AR120" i="127"/>
  <c r="CB120" i="127"/>
  <c r="BX115" i="127"/>
  <c r="BX116" i="127" s="1"/>
  <c r="BX118" i="127" s="1"/>
  <c r="BX119" i="127" s="1"/>
  <c r="AV115" i="127"/>
  <c r="BQ121" i="127"/>
  <c r="BV115" i="127"/>
  <c r="BV116" i="127" s="1"/>
  <c r="BV118" i="127" s="1"/>
  <c r="BV119" i="127" s="1"/>
  <c r="AR115" i="127"/>
  <c r="BU115" i="127"/>
  <c r="BU116" i="127" s="1"/>
  <c r="BU118" i="127" s="1"/>
  <c r="BU119" i="127" s="1"/>
  <c r="BG115" i="127"/>
  <c r="BQ117" i="127"/>
  <c r="BG121" i="127"/>
  <c r="BG120" i="127"/>
  <c r="BQ116" i="127"/>
  <c r="BQ115" i="127"/>
  <c r="AR118" i="127"/>
  <c r="CB115" i="127"/>
  <c r="CB118" i="127"/>
  <c r="BW115" i="127"/>
  <c r="BW116" i="127" s="1"/>
  <c r="BW118" i="127" s="1"/>
  <c r="BW119" i="127" s="1"/>
  <c r="AV119" i="127"/>
  <c r="AV121" i="127"/>
  <c r="BG118" i="127"/>
  <c r="BG119" i="127"/>
  <c r="AR117" i="127"/>
  <c r="BT115" i="127"/>
  <c r="BT116" i="127" s="1"/>
  <c r="BT118" i="127" s="1"/>
  <c r="BT119" i="127" s="1"/>
  <c r="BD13" i="127"/>
  <c r="CS21" i="127"/>
  <c r="BA242" i="127"/>
  <c r="F240" i="127"/>
  <c r="W241" i="127"/>
  <c r="AZ233" i="127"/>
  <c r="F233" i="127"/>
  <c r="AY232" i="127"/>
  <c r="AX231" i="127"/>
  <c r="BA240" i="127"/>
  <c r="F238" i="127"/>
  <c r="BA235" i="127"/>
  <c r="AZ234" i="127"/>
  <c r="F234" i="127"/>
  <c r="AY233" i="127"/>
  <c r="AX232" i="127"/>
  <c r="F249" i="127"/>
  <c r="F247" i="127"/>
  <c r="F245" i="127"/>
  <c r="F243" i="127"/>
  <c r="W239" i="127"/>
  <c r="AZ235" i="127"/>
  <c r="F235" i="127"/>
  <c r="AY234" i="127"/>
  <c r="AX233" i="127"/>
  <c r="BA238" i="127"/>
  <c r="F236" i="127"/>
  <c r="AY235" i="127"/>
  <c r="AX234" i="127"/>
  <c r="W248" i="127"/>
  <c r="W246" i="127"/>
  <c r="W244" i="127"/>
  <c r="F241" i="127"/>
  <c r="W237" i="127"/>
  <c r="AX235" i="127"/>
  <c r="W229" i="127"/>
  <c r="W228" i="127"/>
  <c r="W227" i="127"/>
  <c r="W226" i="127"/>
  <c r="W225" i="127"/>
  <c r="W224" i="127"/>
  <c r="W223" i="127"/>
  <c r="W222" i="127"/>
  <c r="W242" i="127"/>
  <c r="BA236" i="127"/>
  <c r="W230" i="127"/>
  <c r="BA241" i="127"/>
  <c r="F239" i="127"/>
  <c r="W231" i="127"/>
  <c r="W240" i="127"/>
  <c r="W232" i="127"/>
  <c r="AZ228" i="127"/>
  <c r="AZ227" i="127"/>
  <c r="AZ226" i="127"/>
  <c r="F248" i="127"/>
  <c r="F246" i="127"/>
  <c r="F244" i="127"/>
  <c r="BA239" i="127"/>
  <c r="F237" i="127"/>
  <c r="W233" i="127"/>
  <c r="AZ229" i="127"/>
  <c r="F229" i="127"/>
  <c r="AY228" i="127"/>
  <c r="F228" i="127"/>
  <c r="AY227" i="127"/>
  <c r="F227" i="127"/>
  <c r="AY226" i="127"/>
  <c r="F226" i="127"/>
  <c r="W234" i="127"/>
  <c r="F230" i="127"/>
  <c r="H140" i="127"/>
  <c r="W247" i="127"/>
  <c r="W243" i="127"/>
  <c r="W236" i="127"/>
  <c r="F232" i="127"/>
  <c r="AY229" i="127"/>
  <c r="AX227" i="127"/>
  <c r="AZ231" i="127"/>
  <c r="AX229" i="127"/>
  <c r="AW227" i="127"/>
  <c r="H143" i="127"/>
  <c r="H130" i="127"/>
  <c r="F242" i="127"/>
  <c r="W238" i="127"/>
  <c r="AY231" i="127"/>
  <c r="W235" i="127"/>
  <c r="F231" i="127"/>
  <c r="W249" i="127"/>
  <c r="W245" i="127"/>
  <c r="BA237" i="127"/>
  <c r="H142" i="127"/>
  <c r="H132" i="127"/>
  <c r="AZ230" i="127"/>
  <c r="AX228" i="127"/>
  <c r="AX226" i="127"/>
  <c r="H129" i="127"/>
  <c r="AY230" i="127"/>
  <c r="AW228" i="127"/>
  <c r="AW226" i="127"/>
  <c r="H131" i="127"/>
  <c r="AZ232" i="127"/>
  <c r="AX230" i="127"/>
  <c r="H119" i="127"/>
  <c r="H110" i="127"/>
  <c r="H107" i="127"/>
  <c r="H121" i="127"/>
  <c r="H120" i="127"/>
  <c r="H141" i="127"/>
  <c r="H108" i="127"/>
  <c r="H98" i="127"/>
  <c r="H109" i="127"/>
  <c r="H97" i="127"/>
  <c r="H99" i="127"/>
  <c r="H77" i="127"/>
  <c r="H88" i="127"/>
  <c r="H76" i="127"/>
  <c r="H86" i="127"/>
  <c r="H85" i="127"/>
  <c r="H118" i="127"/>
  <c r="H66" i="127"/>
  <c r="H64" i="127"/>
  <c r="CS46" i="127"/>
  <c r="CS49" i="127"/>
  <c r="CS53" i="127"/>
  <c r="F60" i="127"/>
  <c r="D61" i="127"/>
  <c r="AK65" i="127"/>
  <c r="AV66" i="127"/>
  <c r="BC62" i="127" s="1"/>
  <c r="BG71" i="127"/>
  <c r="BU82" i="127"/>
  <c r="BU83" i="127" s="1"/>
  <c r="BU85" i="127" s="1"/>
  <c r="BU86" i="127" s="1"/>
  <c r="BG82" i="127"/>
  <c r="CK89" i="127"/>
  <c r="BQ87" i="127"/>
  <c r="BQ84" i="127"/>
  <c r="BQ85" i="127"/>
  <c r="AV87" i="127"/>
  <c r="AV84" i="127"/>
  <c r="AR87" i="127"/>
  <c r="CB87" i="127"/>
  <c r="BQ82" i="127"/>
  <c r="BG84" i="127"/>
  <c r="BQ86" i="127"/>
  <c r="AV82" i="127"/>
  <c r="BQ83" i="127"/>
  <c r="AR82" i="127"/>
  <c r="CB84" i="127"/>
  <c r="BX82" i="127"/>
  <c r="BX83" i="127" s="1"/>
  <c r="BX85" i="127" s="1"/>
  <c r="BX86" i="127" s="1"/>
  <c r="BQ88" i="127"/>
  <c r="BG87" i="127"/>
  <c r="BG86" i="127"/>
  <c r="BW82" i="127"/>
  <c r="BW83" i="127" s="1"/>
  <c r="BW85" i="127" s="1"/>
  <c r="BW86" i="127" s="1"/>
  <c r="AR84" i="127"/>
  <c r="BV82" i="127"/>
  <c r="BV83" i="127" s="1"/>
  <c r="BV85" i="127" s="1"/>
  <c r="BV86" i="127" s="1"/>
  <c r="BT82" i="127"/>
  <c r="BT83" i="127" s="1"/>
  <c r="BT85" i="127" s="1"/>
  <c r="BT86" i="127" s="1"/>
  <c r="H87" i="127"/>
  <c r="CS9" i="127"/>
  <c r="CS19" i="127"/>
  <c r="CS26" i="127"/>
  <c r="H96" i="127" s="1"/>
  <c r="CS29" i="127"/>
  <c r="CS34" i="127"/>
  <c r="H105" i="127"/>
  <c r="H106" i="127"/>
  <c r="B104" i="127"/>
  <c r="H104" i="127"/>
  <c r="CS42" i="127"/>
  <c r="CS44" i="127"/>
  <c r="B93" i="127"/>
  <c r="H94" i="127"/>
  <c r="CV49" i="127"/>
  <c r="H60" i="127"/>
  <c r="E61" i="127"/>
  <c r="D62" i="127"/>
  <c r="AV73" i="127"/>
  <c r="AV72" i="127"/>
  <c r="BX71" i="127"/>
  <c r="BX72" i="127" s="1"/>
  <c r="BX74" i="127" s="1"/>
  <c r="BX75" i="127" s="1"/>
  <c r="AV71" i="127"/>
  <c r="AR73" i="127"/>
  <c r="BQ75" i="127"/>
  <c r="AV74" i="127"/>
  <c r="CB73" i="127"/>
  <c r="BG73" i="127"/>
  <c r="AR72" i="127"/>
  <c r="BV71" i="127"/>
  <c r="BV72" i="127" s="1"/>
  <c r="BV74" i="127" s="1"/>
  <c r="BV75" i="127" s="1"/>
  <c r="BG74" i="127"/>
  <c r="BQ73" i="127"/>
  <c r="BQ71" i="127"/>
  <c r="AR88" i="127"/>
  <c r="BG88" i="127"/>
  <c r="AV88" i="127"/>
  <c r="CB88" i="127"/>
  <c r="BQ72" i="127"/>
  <c r="AV75" i="127"/>
  <c r="BQ77" i="127"/>
  <c r="N84" i="127"/>
  <c r="AK88" i="127"/>
  <c r="AK93" i="127"/>
  <c r="N106" i="127"/>
  <c r="BQ76" i="127"/>
  <c r="CB77" i="127"/>
  <c r="BG77" i="127"/>
  <c r="AR86" i="127"/>
  <c r="CB86" i="127"/>
  <c r="CB75" i="127"/>
  <c r="AV116" i="127"/>
  <c r="AR116" i="127"/>
  <c r="BG116" i="127"/>
  <c r="CB116" i="127"/>
  <c r="BT71" i="127"/>
  <c r="BT72" i="127" s="1"/>
  <c r="BT74" i="127" s="1"/>
  <c r="BT75" i="127" s="1"/>
  <c r="AR74" i="127"/>
  <c r="BG85" i="127"/>
  <c r="CB85" i="127"/>
  <c r="N87" i="127"/>
  <c r="T88" i="127"/>
  <c r="CK78" i="127"/>
  <c r="AV117" i="127"/>
  <c r="BW71" i="127"/>
  <c r="BW72" i="127" s="1"/>
  <c r="BW74" i="127" s="1"/>
  <c r="BW75" i="127" s="1"/>
  <c r="AK94" i="127"/>
  <c r="AY132" i="127"/>
  <c r="BM128" i="127"/>
  <c r="AR77" i="127"/>
  <c r="AR85" i="127"/>
  <c r="AV86" i="127"/>
  <c r="AV85" i="127"/>
  <c r="T86" i="127"/>
  <c r="AV93" i="127"/>
  <c r="BX93" i="127"/>
  <c r="BX94" i="127" s="1"/>
  <c r="BX96" i="127" s="1"/>
  <c r="BX97" i="127" s="1"/>
  <c r="AV94" i="127"/>
  <c r="CB96" i="127"/>
  <c r="AV107" i="127"/>
  <c r="AV95" i="127"/>
  <c r="AV108" i="127"/>
  <c r="AR108" i="127"/>
  <c r="BG108" i="127"/>
  <c r="AV109" i="127"/>
  <c r="AV110" i="127"/>
  <c r="AR110" i="127"/>
  <c r="CB110" i="127"/>
  <c r="BG110" i="127"/>
  <c r="BQ99" i="127"/>
  <c r="CB93" i="127"/>
  <c r="CB94" i="127"/>
  <c r="BG97" i="127"/>
  <c r="AR106" i="127"/>
  <c r="CB106" i="127"/>
  <c r="AK108" i="127"/>
  <c r="CB108" i="127"/>
  <c r="AK110" i="127"/>
  <c r="BQ96" i="127"/>
  <c r="AR97" i="127"/>
  <c r="CB98" i="127"/>
  <c r="BG98" i="127"/>
  <c r="AR99" i="127"/>
  <c r="AV118" i="127"/>
  <c r="BG96" i="127"/>
  <c r="BX104" i="127"/>
  <c r="BX105" i="127" s="1"/>
  <c r="BX107" i="127" s="1"/>
  <c r="BX108" i="127" s="1"/>
  <c r="AV104" i="127"/>
  <c r="BW104" i="127"/>
  <c r="BW105" i="127" s="1"/>
  <c r="BW107" i="127" s="1"/>
  <c r="BW108" i="127" s="1"/>
  <c r="BU104" i="127"/>
  <c r="BU105" i="127" s="1"/>
  <c r="BU107" i="127" s="1"/>
  <c r="BU108" i="127" s="1"/>
  <c r="BG104" i="127"/>
  <c r="AR107" i="127"/>
  <c r="BT104" i="127"/>
  <c r="BT105" i="127" s="1"/>
  <c r="BT107" i="127" s="1"/>
  <c r="BT108" i="127" s="1"/>
  <c r="BQ105" i="127"/>
  <c r="BQ104" i="127"/>
  <c r="BQ107" i="127"/>
  <c r="AV105" i="127"/>
  <c r="BG105" i="127"/>
  <c r="CB105" i="127"/>
  <c r="AV106" i="127"/>
  <c r="CB107" i="127"/>
  <c r="Q108" i="127"/>
  <c r="AR93" i="127"/>
  <c r="BV93" i="127"/>
  <c r="BV94" i="127" s="1"/>
  <c r="BV96" i="127" s="1"/>
  <c r="BV97" i="127" s="1"/>
  <c r="BG95" i="127"/>
  <c r="BQ97" i="127"/>
  <c r="BG106" i="127"/>
  <c r="AK121" i="127"/>
  <c r="AR119" i="127"/>
  <c r="AR121" i="127"/>
  <c r="CB137" i="127"/>
  <c r="AV138" i="127"/>
  <c r="AR129" i="127"/>
  <c r="BT126" i="127"/>
  <c r="BT127" i="127" s="1"/>
  <c r="BT129" i="127" s="1"/>
  <c r="BT130" i="127" s="1"/>
  <c r="BG129" i="127"/>
  <c r="AV126" i="127"/>
  <c r="AR128" i="127"/>
  <c r="BW126" i="127"/>
  <c r="BW127" i="127" s="1"/>
  <c r="BW129" i="127" s="1"/>
  <c r="BW130" i="127" s="1"/>
  <c r="BQ130" i="127"/>
  <c r="AV129" i="127"/>
  <c r="CB128" i="127"/>
  <c r="BG128" i="127"/>
  <c r="AR127" i="127"/>
  <c r="AV131" i="127"/>
  <c r="BJ131" i="127" s="1"/>
  <c r="AR131" i="127"/>
  <c r="CB131" i="127"/>
  <c r="BG131" i="127"/>
  <c r="DF152" i="127"/>
  <c r="DG152" i="127" s="1"/>
  <c r="DF151" i="127"/>
  <c r="DG151" i="127" s="1"/>
  <c r="DF153" i="127"/>
  <c r="DG153" i="127" s="1"/>
  <c r="BF231" i="127"/>
  <c r="BG141" i="127"/>
  <c r="BG139" i="127"/>
  <c r="AV137" i="127"/>
  <c r="BQ143" i="127"/>
  <c r="CB140" i="127"/>
  <c r="AV140" i="127"/>
  <c r="BX137" i="127"/>
  <c r="BX138" i="127" s="1"/>
  <c r="BX140" i="127" s="1"/>
  <c r="BX141" i="127" s="1"/>
  <c r="AR137" i="127"/>
  <c r="AV141" i="127"/>
  <c r="AV143" i="127"/>
  <c r="AR140" i="127"/>
  <c r="AR141" i="127"/>
  <c r="AR143" i="127"/>
  <c r="BG140" i="127"/>
  <c r="AR138" i="127"/>
  <c r="BT137" i="127"/>
  <c r="BT138" i="127" s="1"/>
  <c r="BT140" i="127" s="1"/>
  <c r="BT141" i="127" s="1"/>
  <c r="CB141" i="127"/>
  <c r="BG138" i="127"/>
  <c r="AR139" i="127"/>
  <c r="BQ137" i="127"/>
  <c r="CB119" i="127"/>
  <c r="DI131" i="127"/>
  <c r="DH131" i="127"/>
  <c r="DG131" i="127"/>
  <c r="BQ138" i="127"/>
  <c r="BG117" i="127"/>
  <c r="CB117" i="127"/>
  <c r="BG126" i="127"/>
  <c r="CB127" i="127"/>
  <c r="BQ127" i="127"/>
  <c r="BQ129" i="127"/>
  <c r="BG137" i="127"/>
  <c r="Q142" i="127"/>
  <c r="CB121" i="127"/>
  <c r="AR130" i="127"/>
  <c r="AK140" i="127"/>
  <c r="DI143" i="127"/>
  <c r="DH140" i="127"/>
  <c r="DI141" i="127"/>
  <c r="DH141" i="127"/>
  <c r="DF141" i="127"/>
  <c r="DI140" i="127"/>
  <c r="DH143" i="127"/>
  <c r="DG140" i="127"/>
  <c r="DG143" i="127"/>
  <c r="DI142" i="127"/>
  <c r="DF140" i="127"/>
  <c r="DF143" i="127"/>
  <c r="DH142" i="127"/>
  <c r="DG142" i="127"/>
  <c r="DF142" i="127"/>
  <c r="CB142" i="127"/>
  <c r="N120" i="127"/>
  <c r="AK126" i="127"/>
  <c r="AK129" i="127"/>
  <c r="AV130" i="127"/>
  <c r="BL128" i="127" s="1"/>
  <c r="AV132" i="127"/>
  <c r="BC128" i="127" s="1"/>
  <c r="BV137" i="127"/>
  <c r="BV138" i="127" s="1"/>
  <c r="BV140" i="127" s="1"/>
  <c r="BV141" i="127" s="1"/>
  <c r="BQ141" i="127"/>
  <c r="DG129" i="127"/>
  <c r="DH129" i="127"/>
  <c r="BF235" i="127"/>
  <c r="BC232" i="127"/>
  <c r="BF228" i="127"/>
  <c r="BX126" i="127"/>
  <c r="BX127" i="127" s="1"/>
  <c r="BX129" i="127" s="1"/>
  <c r="BX130" i="127" s="1"/>
  <c r="AV127" i="127"/>
  <c r="CB129" i="127"/>
  <c r="DI129" i="127"/>
  <c r="AV139" i="127"/>
  <c r="BF230" i="127"/>
  <c r="BD230" i="127"/>
  <c r="BF233" i="127"/>
  <c r="BF236" i="127"/>
  <c r="BD236" i="127"/>
  <c r="BF229" i="127"/>
  <c r="CB126" i="127"/>
  <c r="BG130" i="127"/>
  <c r="AR132" i="127"/>
  <c r="CK133" i="127"/>
  <c r="BU137" i="127"/>
  <c r="BU138" i="127" s="1"/>
  <c r="BU140" i="127" s="1"/>
  <c r="BU141" i="127" s="1"/>
  <c r="BQ142" i="127"/>
  <c r="BD231" i="127"/>
  <c r="BC230" i="127"/>
  <c r="BW137" i="127"/>
  <c r="BW138" i="127" s="1"/>
  <c r="BW140" i="127" s="1"/>
  <c r="BW141" i="127" s="1"/>
  <c r="BF232" i="127"/>
  <c r="DF157" i="127"/>
  <c r="DG157" i="127" s="1"/>
  <c r="DF158" i="127"/>
  <c r="DG158" i="127" s="1"/>
  <c r="BF237" i="127"/>
  <c r="BD235" i="127"/>
  <c r="CB138" i="127"/>
  <c r="AV142" i="127"/>
  <c r="AR142" i="127"/>
  <c r="K143" i="127"/>
  <c r="BC233" i="127"/>
  <c r="BF226" i="127"/>
  <c r="CB132" i="127"/>
  <c r="CI130" i="127" s="1"/>
  <c r="BG132" i="127"/>
  <c r="DH132" i="127"/>
  <c r="CB139" i="127"/>
  <c r="CB143" i="127"/>
  <c r="BG143" i="127"/>
  <c r="BF227" i="127"/>
  <c r="BD227" i="127"/>
  <c r="BC227" i="127"/>
  <c r="BB227" i="127"/>
  <c r="BD233" i="127"/>
  <c r="BC231" i="127"/>
  <c r="BD232" i="127"/>
  <c r="BD237" i="127"/>
  <c r="BB226" i="127"/>
  <c r="BB228" i="127"/>
  <c r="BC229" i="127"/>
  <c r="BC226" i="127"/>
  <c r="BC228" i="127"/>
  <c r="BD229" i="127"/>
  <c r="BD226" i="127"/>
  <c r="BD228" i="127"/>
  <c r="CG82" i="127" l="1"/>
  <c r="CI82" i="127"/>
  <c r="CD82" i="127"/>
  <c r="CG71" i="127"/>
  <c r="CI71" i="127"/>
  <c r="H93" i="127"/>
  <c r="H61" i="127"/>
  <c r="CZ61" i="127" s="1"/>
  <c r="DE61" i="127" s="1"/>
  <c r="H74" i="127"/>
  <c r="H62" i="127"/>
  <c r="CZ62" i="127" s="1"/>
  <c r="DE62" i="127" s="1"/>
  <c r="H72" i="127"/>
  <c r="CZ72" i="127" s="1"/>
  <c r="DE72" i="127" s="1"/>
  <c r="DG159" i="127"/>
  <c r="CE104" i="127"/>
  <c r="CD104" i="127"/>
  <c r="CI104" i="127"/>
  <c r="CH104" i="127"/>
  <c r="BC96" i="127"/>
  <c r="BK99" i="127"/>
  <c r="BK98" i="127"/>
  <c r="BN98" i="127"/>
  <c r="BM97" i="127"/>
  <c r="BM96" i="127"/>
  <c r="AZ98" i="127"/>
  <c r="BM99" i="127"/>
  <c r="BN96" i="127"/>
  <c r="CG95" i="127"/>
  <c r="AZ97" i="127"/>
  <c r="BA98" i="127"/>
  <c r="BB97" i="127"/>
  <c r="BA99" i="127"/>
  <c r="BC97" i="127"/>
  <c r="AZ99" i="127"/>
  <c r="BC98" i="127"/>
  <c r="BA96" i="127"/>
  <c r="BB96" i="127"/>
  <c r="CI95" i="127"/>
  <c r="BL96" i="127"/>
  <c r="CF95" i="127"/>
  <c r="BL99" i="127"/>
  <c r="CI97" i="127"/>
  <c r="BB99" i="127"/>
  <c r="BL98" i="127"/>
  <c r="BN97" i="127"/>
  <c r="BK97" i="127"/>
  <c r="AZ62" i="127"/>
  <c r="CH61" i="127"/>
  <c r="CI61" i="127"/>
  <c r="CF61" i="127"/>
  <c r="F64" i="127"/>
  <c r="D63" i="127"/>
  <c r="DA42" i="127"/>
  <c r="I34" i="127"/>
  <c r="E23" i="127" s="1"/>
  <c r="E25" i="127" s="1"/>
  <c r="CI87" i="127"/>
  <c r="CJ87" i="127" s="1"/>
  <c r="CF71" i="127"/>
  <c r="CH74" i="127"/>
  <c r="CI74" i="127"/>
  <c r="CZ63" i="127"/>
  <c r="DE63" i="127" s="1"/>
  <c r="S59" i="127"/>
  <c r="BJ65" i="127"/>
  <c r="BA62" i="127"/>
  <c r="BJ63" i="127"/>
  <c r="BB62" i="127"/>
  <c r="BK62" i="127"/>
  <c r="BM62" i="127"/>
  <c r="AY65" i="127"/>
  <c r="F63" i="127"/>
  <c r="F62" i="127"/>
  <c r="E62" i="127"/>
  <c r="F61" i="127"/>
  <c r="E60" i="127"/>
  <c r="O38" i="127"/>
  <c r="BJ4" i="127"/>
  <c r="BJ7" i="127" s="1"/>
  <c r="BJ10" i="127" s="1"/>
  <c r="BJ15" i="127" s="1"/>
  <c r="F224" i="127"/>
  <c r="F225" i="127"/>
  <c r="DG154" i="127"/>
  <c r="P125" i="127"/>
  <c r="CZ128" i="127"/>
  <c r="DE128" i="127" s="1"/>
  <c r="BM138" i="127"/>
  <c r="AY138" i="127"/>
  <c r="BC138" i="127"/>
  <c r="AX140" i="127"/>
  <c r="BB138" i="127"/>
  <c r="AX143" i="127"/>
  <c r="AZ138" i="127"/>
  <c r="BN138" i="127"/>
  <c r="BI140" i="127"/>
  <c r="AX142" i="127"/>
  <c r="BK138" i="127"/>
  <c r="AX139" i="127"/>
  <c r="BJ138" i="127"/>
  <c r="BI141" i="127"/>
  <c r="BI143" i="127"/>
  <c r="BI142" i="127"/>
  <c r="BI139" i="127"/>
  <c r="AX141" i="127"/>
  <c r="BL138" i="127"/>
  <c r="BA138" i="127"/>
  <c r="CI108" i="127"/>
  <c r="CH108" i="127"/>
  <c r="CG104" i="127"/>
  <c r="BJ132" i="127"/>
  <c r="CI109" i="127"/>
  <c r="CJ109" i="127" s="1"/>
  <c r="AX120" i="127"/>
  <c r="AX119" i="127"/>
  <c r="BL116" i="127"/>
  <c r="AX121" i="127"/>
  <c r="AX118" i="127"/>
  <c r="BI117" i="127"/>
  <c r="BK116" i="127"/>
  <c r="BI118" i="127"/>
  <c r="BI121" i="127"/>
  <c r="BI120" i="127"/>
  <c r="BC116" i="127"/>
  <c r="BB116" i="127"/>
  <c r="BA116" i="127"/>
  <c r="AX117" i="127"/>
  <c r="BN116" i="127"/>
  <c r="AZ116" i="127"/>
  <c r="BI119" i="127"/>
  <c r="BM116" i="127"/>
  <c r="AY116" i="127"/>
  <c r="BJ116" i="127"/>
  <c r="J59" i="127"/>
  <c r="CZ60" i="127"/>
  <c r="DE60" i="127" s="1"/>
  <c r="F110" i="127"/>
  <c r="D110" i="127"/>
  <c r="F109" i="127"/>
  <c r="E107" i="127"/>
  <c r="E109" i="127"/>
  <c r="D107" i="127"/>
  <c r="E104" i="127"/>
  <c r="F108" i="127"/>
  <c r="F106" i="127"/>
  <c r="E105" i="127"/>
  <c r="E108" i="127"/>
  <c r="E106" i="127"/>
  <c r="F105" i="127"/>
  <c r="D104" i="127"/>
  <c r="D106" i="127"/>
  <c r="D108" i="127"/>
  <c r="E110" i="127"/>
  <c r="D109" i="127"/>
  <c r="F107" i="127"/>
  <c r="F104" i="127"/>
  <c r="D105" i="127"/>
  <c r="CZ85" i="127"/>
  <c r="S81" i="127"/>
  <c r="Y114" i="127"/>
  <c r="CZ120" i="127"/>
  <c r="P114" i="127"/>
  <c r="CZ117" i="127"/>
  <c r="DE117" i="127" s="1"/>
  <c r="CH72" i="127"/>
  <c r="CG72" i="127"/>
  <c r="CI72" i="127"/>
  <c r="CF72" i="127"/>
  <c r="CE72" i="127"/>
  <c r="J125" i="127"/>
  <c r="CZ126" i="127"/>
  <c r="DE126" i="127" s="1"/>
  <c r="DB126" i="127" s="1"/>
  <c r="CZ138" i="127"/>
  <c r="DE138" i="127" s="1"/>
  <c r="DB138" i="127" s="1"/>
  <c r="M136" i="127"/>
  <c r="CG74" i="127"/>
  <c r="BL62" i="127"/>
  <c r="BJ130" i="127"/>
  <c r="V136" i="127"/>
  <c r="CZ141" i="127"/>
  <c r="DE141" i="127" s="1"/>
  <c r="J136" i="127"/>
  <c r="CZ137" i="127"/>
  <c r="DE137" i="127" s="1"/>
  <c r="DB137" i="127" s="1"/>
  <c r="BK142" i="127"/>
  <c r="BA140" i="127"/>
  <c r="AZ141" i="127"/>
  <c r="AZ143" i="127"/>
  <c r="BN140" i="127"/>
  <c r="BL140" i="127"/>
  <c r="AZ142" i="127"/>
  <c r="BK141" i="127"/>
  <c r="BK143" i="127"/>
  <c r="BC140" i="127"/>
  <c r="BM140" i="127"/>
  <c r="BB140" i="127"/>
  <c r="CI128" i="127"/>
  <c r="CG128" i="127"/>
  <c r="CF128" i="127"/>
  <c r="CH128" i="127"/>
  <c r="CE137" i="127"/>
  <c r="CD137" i="127"/>
  <c r="CJ137" i="127" s="1"/>
  <c r="CI137" i="127"/>
  <c r="CH137" i="127"/>
  <c r="CG137" i="127"/>
  <c r="CF137" i="127"/>
  <c r="BH94" i="127"/>
  <c r="BI93" i="127"/>
  <c r="BA93" i="127"/>
  <c r="BH97" i="127"/>
  <c r="BN93" i="127"/>
  <c r="AZ93" i="127"/>
  <c r="AW95" i="127"/>
  <c r="BM93" i="127"/>
  <c r="AY93" i="127"/>
  <c r="AW94" i="127"/>
  <c r="BL93" i="127"/>
  <c r="AX93" i="127"/>
  <c r="BH99" i="127"/>
  <c r="AW98" i="127"/>
  <c r="BK93" i="127"/>
  <c r="BH98" i="127"/>
  <c r="BH96" i="127"/>
  <c r="BC93" i="127"/>
  <c r="BB93" i="127"/>
  <c r="AW96" i="127"/>
  <c r="AW97" i="127"/>
  <c r="AW99" i="127"/>
  <c r="BH95" i="127"/>
  <c r="BJ93" i="127"/>
  <c r="BA128" i="127"/>
  <c r="CZ49" i="127"/>
  <c r="DF49" i="127" s="1"/>
  <c r="DA40" i="127"/>
  <c r="CZ106" i="127"/>
  <c r="DE106" i="127" s="1"/>
  <c r="P103" i="127"/>
  <c r="V81" i="127"/>
  <c r="CZ86" i="127"/>
  <c r="CZ121" i="127"/>
  <c r="AB114" i="127"/>
  <c r="CI118" i="127"/>
  <c r="CH118" i="127"/>
  <c r="CG118" i="127"/>
  <c r="CZ116" i="127"/>
  <c r="DE116" i="127" s="1"/>
  <c r="M114" i="127"/>
  <c r="CI64" i="127"/>
  <c r="CH64" i="127"/>
  <c r="P249" i="127"/>
  <c r="P247" i="127"/>
  <c r="P245" i="127"/>
  <c r="P243" i="127"/>
  <c r="AN239" i="127"/>
  <c r="P236" i="127"/>
  <c r="AN248" i="127"/>
  <c r="AN246" i="127"/>
  <c r="AN244" i="127"/>
  <c r="P241" i="127"/>
  <c r="AN237" i="127"/>
  <c r="AN229" i="127"/>
  <c r="AN228" i="127"/>
  <c r="AN227" i="127"/>
  <c r="AN226" i="127"/>
  <c r="AN225" i="127"/>
  <c r="AN224" i="127"/>
  <c r="AN223" i="127"/>
  <c r="AN222" i="127"/>
  <c r="AN242" i="127"/>
  <c r="AN230" i="127"/>
  <c r="P239" i="127"/>
  <c r="AN231" i="127"/>
  <c r="AN240" i="127"/>
  <c r="AN232" i="127"/>
  <c r="P248" i="127"/>
  <c r="P246" i="127"/>
  <c r="P244" i="127"/>
  <c r="P237" i="127"/>
  <c r="AN233" i="127"/>
  <c r="P229" i="127"/>
  <c r="P228" i="127"/>
  <c r="P227" i="127"/>
  <c r="P226" i="127"/>
  <c r="P225" i="127"/>
  <c r="P224" i="127"/>
  <c r="P223" i="127"/>
  <c r="P222" i="127"/>
  <c r="P242" i="127"/>
  <c r="AN238" i="127"/>
  <c r="AN234" i="127"/>
  <c r="P230" i="127"/>
  <c r="AN249" i="127"/>
  <c r="AN247" i="127"/>
  <c r="AN245" i="127"/>
  <c r="AN243" i="127"/>
  <c r="AN235" i="127"/>
  <c r="P231" i="127"/>
  <c r="P240" i="127"/>
  <c r="AN236" i="127"/>
  <c r="P232" i="127"/>
  <c r="P234" i="127"/>
  <c r="P238" i="127"/>
  <c r="P233" i="127"/>
  <c r="AN241" i="127"/>
  <c r="P235" i="127"/>
  <c r="BN62" i="127"/>
  <c r="CZ108" i="127"/>
  <c r="V103" i="127"/>
  <c r="CZ115" i="127"/>
  <c r="DE115" i="127" s="1"/>
  <c r="J114" i="127"/>
  <c r="CZ118" i="127"/>
  <c r="S114" i="127"/>
  <c r="CI142" i="127"/>
  <c r="CJ142" i="127" s="1"/>
  <c r="CI127" i="127"/>
  <c r="CF127" i="127"/>
  <c r="CH127" i="127"/>
  <c r="CG127" i="127"/>
  <c r="CE127" i="127"/>
  <c r="CI141" i="127"/>
  <c r="CH141" i="127"/>
  <c r="CJ141" i="127" s="1"/>
  <c r="CH140" i="127"/>
  <c r="CI140" i="127"/>
  <c r="CG140" i="127"/>
  <c r="AZ132" i="127"/>
  <c r="BK132" i="127"/>
  <c r="BC129" i="127"/>
  <c r="BK131" i="127"/>
  <c r="BA129" i="127"/>
  <c r="BN129" i="127"/>
  <c r="BM129" i="127"/>
  <c r="BL129" i="127"/>
  <c r="AZ131" i="127"/>
  <c r="BK130" i="127"/>
  <c r="BB129" i="127"/>
  <c r="AZ130" i="127"/>
  <c r="CG106" i="127"/>
  <c r="CF106" i="127"/>
  <c r="CI106" i="127"/>
  <c r="CH106" i="127"/>
  <c r="BB110" i="127"/>
  <c r="BM110" i="127"/>
  <c r="BN109" i="127"/>
  <c r="BC109" i="127"/>
  <c r="AZ88" i="127"/>
  <c r="AZ86" i="127"/>
  <c r="BK88" i="127"/>
  <c r="BK86" i="127"/>
  <c r="BB85" i="127"/>
  <c r="BN85" i="127"/>
  <c r="BM85" i="127"/>
  <c r="BL85" i="127"/>
  <c r="BK87" i="127"/>
  <c r="BC85" i="127"/>
  <c r="BA85" i="127"/>
  <c r="AZ87" i="127"/>
  <c r="BJ129" i="127"/>
  <c r="CI73" i="127"/>
  <c r="CH73" i="127"/>
  <c r="CG73" i="127"/>
  <c r="CF73" i="127"/>
  <c r="CZ94" i="127"/>
  <c r="DE94" i="127" s="1"/>
  <c r="M92" i="127"/>
  <c r="M103" i="127"/>
  <c r="CZ105" i="127"/>
  <c r="DE105" i="127" s="1"/>
  <c r="CZ76" i="127"/>
  <c r="Y70" i="127"/>
  <c r="S103" i="127"/>
  <c r="CZ107" i="127"/>
  <c r="S125" i="127"/>
  <c r="CZ129" i="127"/>
  <c r="CG115" i="127"/>
  <c r="CF115" i="127"/>
  <c r="CE115" i="127"/>
  <c r="CD115" i="127"/>
  <c r="CI115" i="127"/>
  <c r="CH115" i="127"/>
  <c r="CI63" i="127"/>
  <c r="CH63" i="127"/>
  <c r="CG63" i="127"/>
  <c r="M81" i="127"/>
  <c r="CZ83" i="127"/>
  <c r="DE83" i="127" s="1"/>
  <c r="AW66" i="127"/>
  <c r="AW65" i="127"/>
  <c r="BH66" i="127"/>
  <c r="BH65" i="127"/>
  <c r="BH64" i="127"/>
  <c r="BH63" i="127"/>
  <c r="BC60" i="127"/>
  <c r="AW61" i="127"/>
  <c r="BB60" i="127"/>
  <c r="BH62" i="127"/>
  <c r="BA60" i="127"/>
  <c r="BN60" i="127"/>
  <c r="AZ60" i="127"/>
  <c r="BH61" i="127"/>
  <c r="BM60" i="127"/>
  <c r="AY60" i="127"/>
  <c r="BL60" i="127"/>
  <c r="AX60" i="127"/>
  <c r="AW64" i="127"/>
  <c r="AW63" i="127"/>
  <c r="BK60" i="127"/>
  <c r="AW62" i="127"/>
  <c r="BJ60" i="127"/>
  <c r="BI60" i="127"/>
  <c r="CZ75" i="127"/>
  <c r="V70" i="127"/>
  <c r="BJ64" i="127"/>
  <c r="CG61" i="127"/>
  <c r="AY129" i="127"/>
  <c r="CI85" i="127"/>
  <c r="CG85" i="127"/>
  <c r="CH85" i="127"/>
  <c r="BK77" i="127"/>
  <c r="BK76" i="127"/>
  <c r="BA74" i="127"/>
  <c r="BN74" i="127"/>
  <c r="BM74" i="127"/>
  <c r="BL74" i="127"/>
  <c r="AZ77" i="127"/>
  <c r="BK75" i="127"/>
  <c r="AZ76" i="127"/>
  <c r="AZ75" i="127"/>
  <c r="BC74" i="127"/>
  <c r="BB74" i="127"/>
  <c r="E99" i="127"/>
  <c r="F96" i="127"/>
  <c r="D98" i="127"/>
  <c r="F94" i="127"/>
  <c r="D93" i="127"/>
  <c r="F97" i="127"/>
  <c r="F95" i="127"/>
  <c r="E94" i="127"/>
  <c r="E97" i="127"/>
  <c r="E95" i="127"/>
  <c r="D94" i="127"/>
  <c r="D97" i="127"/>
  <c r="D95" i="127"/>
  <c r="F99" i="127"/>
  <c r="E96" i="127"/>
  <c r="F98" i="127"/>
  <c r="D96" i="127"/>
  <c r="E98" i="127"/>
  <c r="F93" i="127"/>
  <c r="D99" i="127"/>
  <c r="E93" i="127"/>
  <c r="BB84" i="127"/>
  <c r="BM84" i="127"/>
  <c r="BJ87" i="127"/>
  <c r="AY85" i="127"/>
  <c r="BK84" i="127"/>
  <c r="AY88" i="127"/>
  <c r="BC84" i="127"/>
  <c r="BJ85" i="127"/>
  <c r="BA84" i="127"/>
  <c r="BJ86" i="127"/>
  <c r="AZ84" i="127"/>
  <c r="BN84" i="127"/>
  <c r="AY86" i="127"/>
  <c r="BJ88" i="127"/>
  <c r="AY87" i="127"/>
  <c r="BL84" i="127"/>
  <c r="CZ88" i="127"/>
  <c r="AB81" i="127"/>
  <c r="CZ110" i="127"/>
  <c r="AB103" i="127"/>
  <c r="BI63" i="127"/>
  <c r="AX66" i="127"/>
  <c r="AX65" i="127"/>
  <c r="AX64" i="127"/>
  <c r="BI64" i="127"/>
  <c r="AX63" i="127"/>
  <c r="BN61" i="127"/>
  <c r="AZ61" i="127"/>
  <c r="BI65" i="127"/>
  <c r="BM61" i="127"/>
  <c r="AY61" i="127"/>
  <c r="BI62" i="127"/>
  <c r="BL61" i="127"/>
  <c r="BK61" i="127"/>
  <c r="BJ61" i="127"/>
  <c r="AX62" i="127"/>
  <c r="BB61" i="127"/>
  <c r="BA61" i="127"/>
  <c r="BI66" i="127"/>
  <c r="BC61" i="127"/>
  <c r="J81" i="127"/>
  <c r="CZ82" i="127"/>
  <c r="DE82" i="127" s="1"/>
  <c r="CI62" i="127"/>
  <c r="CH62" i="127"/>
  <c r="CG62" i="127"/>
  <c r="CF62" i="127"/>
  <c r="BK121" i="127"/>
  <c r="BN118" i="127"/>
  <c r="AZ120" i="127"/>
  <c r="BM118" i="127"/>
  <c r="BK119" i="127"/>
  <c r="BC118" i="127"/>
  <c r="AZ119" i="127"/>
  <c r="BB118" i="127"/>
  <c r="AZ121" i="127"/>
  <c r="BL118" i="127"/>
  <c r="BK120" i="127"/>
  <c r="BA118" i="127"/>
  <c r="CI86" i="127"/>
  <c r="CH86" i="127"/>
  <c r="CI126" i="127"/>
  <c r="CH126" i="127"/>
  <c r="CE126" i="127"/>
  <c r="CG126" i="127"/>
  <c r="CF126" i="127"/>
  <c r="CD126" i="127"/>
  <c r="BL139" i="127"/>
  <c r="BJ142" i="127"/>
  <c r="AY140" i="127"/>
  <c r="AY141" i="127"/>
  <c r="BC139" i="127"/>
  <c r="BJ140" i="127"/>
  <c r="BB139" i="127"/>
  <c r="AY142" i="127"/>
  <c r="AZ139" i="127"/>
  <c r="BJ141" i="127"/>
  <c r="BN139" i="127"/>
  <c r="BJ143" i="127"/>
  <c r="BM139" i="127"/>
  <c r="BK139" i="127"/>
  <c r="AY143" i="127"/>
  <c r="BA139" i="127"/>
  <c r="CH117" i="127"/>
  <c r="CG117" i="127"/>
  <c r="CI117" i="127"/>
  <c r="CF117" i="127"/>
  <c r="AW142" i="127"/>
  <c r="AW139" i="127"/>
  <c r="BM137" i="127"/>
  <c r="AY137" i="127"/>
  <c r="BH142" i="127"/>
  <c r="BN137" i="127"/>
  <c r="AX137" i="127"/>
  <c r="BL137" i="127"/>
  <c r="AW141" i="127"/>
  <c r="BJ137" i="127"/>
  <c r="AW143" i="127"/>
  <c r="AW138" i="127"/>
  <c r="BI137" i="127"/>
  <c r="BO137" i="127" s="1"/>
  <c r="BH140" i="127"/>
  <c r="BH138" i="127"/>
  <c r="BC137" i="127"/>
  <c r="BH141" i="127"/>
  <c r="BB137" i="127"/>
  <c r="BH143" i="127"/>
  <c r="BA137" i="127"/>
  <c r="BK137" i="127"/>
  <c r="AZ137" i="127"/>
  <c r="BH139" i="127"/>
  <c r="AW140" i="127"/>
  <c r="CI107" i="127"/>
  <c r="CH107" i="127"/>
  <c r="CG107" i="127"/>
  <c r="CF104" i="127"/>
  <c r="P92" i="127"/>
  <c r="CZ95" i="127"/>
  <c r="DE95" i="127" s="1"/>
  <c r="BB88" i="127"/>
  <c r="BN87" i="127"/>
  <c r="BM88" i="127"/>
  <c r="BC87" i="127"/>
  <c r="S70" i="127"/>
  <c r="CZ74" i="127"/>
  <c r="CZ119" i="127"/>
  <c r="V114" i="127"/>
  <c r="AW121" i="127"/>
  <c r="BH121" i="127"/>
  <c r="BH119" i="127"/>
  <c r="BH120" i="127"/>
  <c r="AW116" i="127"/>
  <c r="BL115" i="127"/>
  <c r="AX115" i="127"/>
  <c r="AW119" i="127"/>
  <c r="BK115" i="127"/>
  <c r="AW120" i="127"/>
  <c r="BH116" i="127"/>
  <c r="BI115" i="127"/>
  <c r="BC115" i="127"/>
  <c r="BB115" i="127"/>
  <c r="BA115" i="127"/>
  <c r="BN115" i="127"/>
  <c r="AZ115" i="127"/>
  <c r="AW118" i="127"/>
  <c r="BH117" i="127"/>
  <c r="AW117" i="127"/>
  <c r="BM115" i="127"/>
  <c r="BJ115" i="127"/>
  <c r="BH118" i="127"/>
  <c r="AY115" i="127"/>
  <c r="CZ84" i="127"/>
  <c r="DE84" i="127" s="1"/>
  <c r="P81" i="127"/>
  <c r="CE71" i="127"/>
  <c r="E75" i="127"/>
  <c r="E73" i="127"/>
  <c r="D72" i="127"/>
  <c r="D75" i="127"/>
  <c r="D73" i="127"/>
  <c r="F77" i="127"/>
  <c r="E77" i="127"/>
  <c r="F74" i="127"/>
  <c r="E76" i="127"/>
  <c r="D74" i="127"/>
  <c r="D76" i="127"/>
  <c r="F71" i="127"/>
  <c r="E71" i="127"/>
  <c r="D77" i="127"/>
  <c r="E74" i="127"/>
  <c r="F72" i="127"/>
  <c r="F76" i="127"/>
  <c r="E72" i="127"/>
  <c r="F73" i="127"/>
  <c r="D71" i="127"/>
  <c r="F75" i="127"/>
  <c r="AY66" i="127"/>
  <c r="CE61" i="127"/>
  <c r="CZ66" i="127"/>
  <c r="DE66" i="127" s="1"/>
  <c r="AB59" i="127"/>
  <c r="AY110" i="127"/>
  <c r="AY108" i="127"/>
  <c r="BJ110" i="127"/>
  <c r="BJ108" i="127"/>
  <c r="BA106" i="127"/>
  <c r="AY109" i="127"/>
  <c r="BN106" i="127"/>
  <c r="AZ106" i="127"/>
  <c r="BM106" i="127"/>
  <c r="BL106" i="127"/>
  <c r="BJ107" i="127"/>
  <c r="AY107" i="127"/>
  <c r="BJ109" i="127"/>
  <c r="BK106" i="127"/>
  <c r="BC106" i="127"/>
  <c r="BB106" i="127"/>
  <c r="BK104" i="127"/>
  <c r="BH109" i="127"/>
  <c r="AW107" i="127"/>
  <c r="BH106" i="127"/>
  <c r="BJ104" i="127"/>
  <c r="BH107" i="127"/>
  <c r="BB104" i="127"/>
  <c r="BH110" i="127"/>
  <c r="BH108" i="127"/>
  <c r="BN104" i="127"/>
  <c r="AZ104" i="127"/>
  <c r="AW109" i="127"/>
  <c r="AW106" i="127"/>
  <c r="BI104" i="127"/>
  <c r="BA104" i="127"/>
  <c r="AY104" i="127"/>
  <c r="AW105" i="127"/>
  <c r="AX104" i="127"/>
  <c r="AW110" i="127"/>
  <c r="BM104" i="127"/>
  <c r="BL104" i="127"/>
  <c r="BH105" i="127"/>
  <c r="AW108" i="127"/>
  <c r="BC104" i="127"/>
  <c r="CI94" i="127"/>
  <c r="CF94" i="127"/>
  <c r="CE94" i="127"/>
  <c r="CG94" i="127"/>
  <c r="CH94" i="127"/>
  <c r="BC108" i="127"/>
  <c r="BN108" i="127"/>
  <c r="BL109" i="127"/>
  <c r="BL110" i="127"/>
  <c r="BM108" i="127"/>
  <c r="BA110" i="127"/>
  <c r="BB108" i="127"/>
  <c r="BA109" i="127"/>
  <c r="BA87" i="127"/>
  <c r="BL87" i="127"/>
  <c r="BA88" i="127"/>
  <c r="BN86" i="127"/>
  <c r="BM86" i="127"/>
  <c r="BL88" i="127"/>
  <c r="BC86" i="127"/>
  <c r="BB86" i="127"/>
  <c r="BJ120" i="127"/>
  <c r="AY121" i="127"/>
  <c r="AY118" i="127"/>
  <c r="BK117" i="127"/>
  <c r="BJ118" i="127"/>
  <c r="BJ119" i="127"/>
  <c r="BB117" i="127"/>
  <c r="BA117" i="127"/>
  <c r="BN117" i="127"/>
  <c r="AZ117" i="127"/>
  <c r="BM117" i="127"/>
  <c r="AY120" i="127"/>
  <c r="BL117" i="127"/>
  <c r="BC117" i="127"/>
  <c r="AY119" i="127"/>
  <c r="BJ121" i="127"/>
  <c r="CZ93" i="127"/>
  <c r="DE93" i="127" s="1"/>
  <c r="J92" i="127"/>
  <c r="AB70" i="127"/>
  <c r="CZ77" i="127"/>
  <c r="D88" i="127"/>
  <c r="F87" i="127"/>
  <c r="E85" i="127"/>
  <c r="F86" i="127"/>
  <c r="F84" i="127"/>
  <c r="E83" i="127"/>
  <c r="D86" i="127"/>
  <c r="D84" i="127"/>
  <c r="F88" i="127"/>
  <c r="D87" i="127"/>
  <c r="E84" i="127"/>
  <c r="E88" i="127"/>
  <c r="F82" i="127"/>
  <c r="F83" i="127"/>
  <c r="E82" i="127"/>
  <c r="E86" i="127"/>
  <c r="F85" i="127"/>
  <c r="D83" i="127"/>
  <c r="D82" i="127"/>
  <c r="E87" i="127"/>
  <c r="D85" i="127"/>
  <c r="CH60" i="127"/>
  <c r="CG60" i="127"/>
  <c r="CF60" i="127"/>
  <c r="CE60" i="127"/>
  <c r="CI60" i="127"/>
  <c r="CD60" i="127"/>
  <c r="CZ71" i="127"/>
  <c r="DE71" i="127" s="1"/>
  <c r="J70" i="127"/>
  <c r="BJ66" i="127"/>
  <c r="BN130" i="127"/>
  <c r="BM130" i="127"/>
  <c r="BC130" i="127"/>
  <c r="BB130" i="127"/>
  <c r="BA131" i="127"/>
  <c r="BL132" i="127"/>
  <c r="BA132" i="127"/>
  <c r="BL131" i="127"/>
  <c r="CH119" i="127"/>
  <c r="CI119" i="127"/>
  <c r="BI99" i="127"/>
  <c r="BI98" i="127"/>
  <c r="AX97" i="127"/>
  <c r="BI97" i="127"/>
  <c r="BA94" i="127"/>
  <c r="AX95" i="127"/>
  <c r="BN94" i="127"/>
  <c r="AZ94" i="127"/>
  <c r="BM94" i="127"/>
  <c r="AY94" i="127"/>
  <c r="AX98" i="127"/>
  <c r="BL94" i="127"/>
  <c r="AX96" i="127"/>
  <c r="BI95" i="127"/>
  <c r="BK94" i="127"/>
  <c r="BI96" i="127"/>
  <c r="BJ94" i="127"/>
  <c r="AX99" i="127"/>
  <c r="BC94" i="127"/>
  <c r="BB94" i="127"/>
  <c r="BL121" i="127"/>
  <c r="BL120" i="127"/>
  <c r="BC119" i="127"/>
  <c r="BA120" i="127"/>
  <c r="BN119" i="127"/>
  <c r="BB119" i="127"/>
  <c r="BA121" i="127"/>
  <c r="BM119" i="127"/>
  <c r="CH129" i="127"/>
  <c r="CG129" i="127"/>
  <c r="CI129" i="127"/>
  <c r="CI131" i="127"/>
  <c r="CJ131" i="127" s="1"/>
  <c r="BH129" i="127"/>
  <c r="BA126" i="127"/>
  <c r="AW131" i="127"/>
  <c r="AW128" i="127"/>
  <c r="BM126" i="127"/>
  <c r="AY126" i="127"/>
  <c r="BH132" i="127"/>
  <c r="BK126" i="127"/>
  <c r="BH131" i="127"/>
  <c r="AW129" i="127"/>
  <c r="BH128" i="127"/>
  <c r="BJ126" i="127"/>
  <c r="BH127" i="127"/>
  <c r="BN126" i="127"/>
  <c r="BL126" i="127"/>
  <c r="BC126" i="127"/>
  <c r="BB126" i="127"/>
  <c r="AW132" i="127"/>
  <c r="AX126" i="127"/>
  <c r="BH130" i="127"/>
  <c r="AW127" i="127"/>
  <c r="BI126" i="127"/>
  <c r="AW130" i="127"/>
  <c r="AZ126" i="127"/>
  <c r="CG105" i="127"/>
  <c r="CF105" i="127"/>
  <c r="CE105" i="127"/>
  <c r="CI105" i="127"/>
  <c r="CH105" i="127"/>
  <c r="CH93" i="127"/>
  <c r="CE93" i="127"/>
  <c r="CD93" i="127"/>
  <c r="CI93" i="127"/>
  <c r="CG93" i="127"/>
  <c r="CF93" i="127"/>
  <c r="AZ128" i="127"/>
  <c r="AW76" i="127"/>
  <c r="AW73" i="127"/>
  <c r="BM71" i="127"/>
  <c r="AY71" i="127"/>
  <c r="AW72" i="127"/>
  <c r="BL71" i="127"/>
  <c r="AX71" i="127"/>
  <c r="BK71" i="127"/>
  <c r="BH77" i="127"/>
  <c r="BH76" i="127"/>
  <c r="AW74" i="127"/>
  <c r="BH73" i="127"/>
  <c r="BJ71" i="127"/>
  <c r="BH72" i="127"/>
  <c r="BH74" i="127"/>
  <c r="AW75" i="127"/>
  <c r="BC71" i="127"/>
  <c r="BB71" i="127"/>
  <c r="BI71" i="127"/>
  <c r="BH75" i="127"/>
  <c r="BN71" i="127"/>
  <c r="BA71" i="127"/>
  <c r="AZ71" i="127"/>
  <c r="AW77" i="127"/>
  <c r="CH84" i="127"/>
  <c r="CI84" i="127"/>
  <c r="CG84" i="127"/>
  <c r="CF84" i="127"/>
  <c r="CZ99" i="127"/>
  <c r="AB92" i="127"/>
  <c r="CZ132" i="127"/>
  <c r="DE132" i="127" s="1"/>
  <c r="AB125" i="127"/>
  <c r="CI120" i="127"/>
  <c r="CJ120" i="127" s="1"/>
  <c r="CZ96" i="127"/>
  <c r="S92" i="127"/>
  <c r="CH83" i="127"/>
  <c r="CE83" i="127"/>
  <c r="CI83" i="127"/>
  <c r="CG83" i="127"/>
  <c r="CF83" i="127"/>
  <c r="CI76" i="127"/>
  <c r="CJ76" i="127" s="1"/>
  <c r="BL66" i="127"/>
  <c r="BL65" i="127"/>
  <c r="BB64" i="127"/>
  <c r="BM64" i="127"/>
  <c r="BA66" i="127"/>
  <c r="BC64" i="127"/>
  <c r="BA65" i="127"/>
  <c r="BN64" i="127"/>
  <c r="CZ73" i="127"/>
  <c r="DE73" i="127" s="1"/>
  <c r="P70" i="127"/>
  <c r="P59" i="127"/>
  <c r="E141" i="127"/>
  <c r="E139" i="127"/>
  <c r="D138" i="127"/>
  <c r="F143" i="127"/>
  <c r="F138" i="127"/>
  <c r="F141" i="127"/>
  <c r="E140" i="127"/>
  <c r="D141" i="127"/>
  <c r="D140" i="127"/>
  <c r="E143" i="127"/>
  <c r="D143" i="127"/>
  <c r="F139" i="127"/>
  <c r="D139" i="127"/>
  <c r="F137" i="127"/>
  <c r="E137" i="127"/>
  <c r="F142" i="127"/>
  <c r="D137" i="127"/>
  <c r="E142" i="127"/>
  <c r="F140" i="127"/>
  <c r="E138" i="127"/>
  <c r="D142" i="127"/>
  <c r="CZ50" i="127"/>
  <c r="DF50" i="127" s="1"/>
  <c r="CZ104" i="127"/>
  <c r="DE104" i="127" s="1"/>
  <c r="J103" i="127"/>
  <c r="AX130" i="127"/>
  <c r="BI130" i="127"/>
  <c r="BA127" i="127"/>
  <c r="BI132" i="127"/>
  <c r="BM127" i="127"/>
  <c r="AY127" i="127"/>
  <c r="BI131" i="127"/>
  <c r="AX129" i="127"/>
  <c r="BI128" i="127"/>
  <c r="BK127" i="127"/>
  <c r="BJ127" i="127"/>
  <c r="AX128" i="127"/>
  <c r="AX131" i="127"/>
  <c r="BI129" i="127"/>
  <c r="BN127" i="127"/>
  <c r="BL127" i="127"/>
  <c r="AX132" i="127"/>
  <c r="BC127" i="127"/>
  <c r="BB127" i="127"/>
  <c r="AZ127" i="127"/>
  <c r="BN128" i="127"/>
  <c r="CH116" i="127"/>
  <c r="CG116" i="127"/>
  <c r="CF116" i="127"/>
  <c r="CE116" i="127"/>
  <c r="CI116" i="127"/>
  <c r="CH75" i="127"/>
  <c r="CI75" i="127"/>
  <c r="CZ97" i="127"/>
  <c r="V92" i="127"/>
  <c r="CZ142" i="127"/>
  <c r="DE142" i="127" s="1"/>
  <c r="Y136" i="127"/>
  <c r="CE82" i="127"/>
  <c r="CI65" i="127"/>
  <c r="CJ65" i="127" s="1"/>
  <c r="CH71" i="127"/>
  <c r="BC141" i="127"/>
  <c r="BA143" i="127"/>
  <c r="BA142" i="127"/>
  <c r="BN141" i="127"/>
  <c r="BM141" i="127"/>
  <c r="BL143" i="127"/>
  <c r="BL142" i="127"/>
  <c r="BB141" i="127"/>
  <c r="CI96" i="127"/>
  <c r="CH96" i="127"/>
  <c r="CG96" i="127"/>
  <c r="BC75" i="127"/>
  <c r="BB75" i="127"/>
  <c r="BN75" i="127"/>
  <c r="BA77" i="127"/>
  <c r="BM75" i="127"/>
  <c r="BA76" i="127"/>
  <c r="BL77" i="127"/>
  <c r="BL76" i="127"/>
  <c r="DA51" i="127"/>
  <c r="DG51" i="127" s="1"/>
  <c r="E131" i="127"/>
  <c r="D129" i="127"/>
  <c r="D131" i="127"/>
  <c r="F127" i="127"/>
  <c r="D126" i="127"/>
  <c r="E130" i="127"/>
  <c r="E128" i="127"/>
  <c r="D127" i="127"/>
  <c r="D130" i="127"/>
  <c r="F132" i="127"/>
  <c r="E132" i="127"/>
  <c r="F129" i="127"/>
  <c r="E129" i="127"/>
  <c r="E127" i="127"/>
  <c r="D132" i="127"/>
  <c r="F130" i="127"/>
  <c r="D128" i="127"/>
  <c r="F126" i="127"/>
  <c r="E126" i="127"/>
  <c r="F131" i="127"/>
  <c r="F128" i="127"/>
  <c r="CI139" i="127"/>
  <c r="CF139" i="127"/>
  <c r="CH139" i="127"/>
  <c r="CG139" i="127"/>
  <c r="AY130" i="127"/>
  <c r="F119" i="127"/>
  <c r="F121" i="127"/>
  <c r="D117" i="127"/>
  <c r="E119" i="127"/>
  <c r="F118" i="127"/>
  <c r="E121" i="127"/>
  <c r="E118" i="127"/>
  <c r="D120" i="127"/>
  <c r="F115" i="127"/>
  <c r="E115" i="127"/>
  <c r="F116" i="127"/>
  <c r="D115" i="127"/>
  <c r="F117" i="127"/>
  <c r="E116" i="127"/>
  <c r="D119" i="127"/>
  <c r="D118" i="127"/>
  <c r="F120" i="127"/>
  <c r="E117" i="127"/>
  <c r="E120" i="127"/>
  <c r="D121" i="127"/>
  <c r="D116" i="127"/>
  <c r="BB143" i="127"/>
  <c r="BM143" i="127"/>
  <c r="BN142" i="127"/>
  <c r="BC142" i="127"/>
  <c r="BC131" i="127"/>
  <c r="BN131" i="127"/>
  <c r="BB132" i="127"/>
  <c r="BM132" i="127"/>
  <c r="BI109" i="127"/>
  <c r="AX107" i="127"/>
  <c r="BI106" i="127"/>
  <c r="BK105" i="127"/>
  <c r="BJ105" i="127"/>
  <c r="BI107" i="127"/>
  <c r="BB105" i="127"/>
  <c r="BI110" i="127"/>
  <c r="BI108" i="127"/>
  <c r="BA105" i="127"/>
  <c r="AX109" i="127"/>
  <c r="AX106" i="127"/>
  <c r="BN105" i="127"/>
  <c r="AZ105" i="127"/>
  <c r="BL105" i="127"/>
  <c r="AX110" i="127"/>
  <c r="BC105" i="127"/>
  <c r="AY105" i="127"/>
  <c r="BM105" i="127"/>
  <c r="AX108" i="127"/>
  <c r="CI98" i="127"/>
  <c r="CJ98" i="127" s="1"/>
  <c r="CH97" i="127"/>
  <c r="AY99" i="127"/>
  <c r="AY98" i="127"/>
  <c r="BJ96" i="127"/>
  <c r="BC95" i="127"/>
  <c r="BN95" i="127"/>
  <c r="AZ95" i="127"/>
  <c r="BM95" i="127"/>
  <c r="BL95" i="127"/>
  <c r="BJ99" i="127"/>
  <c r="AY96" i="127"/>
  <c r="BK95" i="127"/>
  <c r="BB95" i="127"/>
  <c r="BJ98" i="127"/>
  <c r="BA95" i="127"/>
  <c r="BJ97" i="127"/>
  <c r="AY97" i="127"/>
  <c r="BB128" i="127"/>
  <c r="AY131" i="127"/>
  <c r="BM72" i="127"/>
  <c r="AY72" i="127"/>
  <c r="BL72" i="127"/>
  <c r="BI77" i="127"/>
  <c r="BI76" i="127"/>
  <c r="AX74" i="127"/>
  <c r="BI73" i="127"/>
  <c r="BK72" i="127"/>
  <c r="BJ72" i="127"/>
  <c r="AX75" i="127"/>
  <c r="BC72" i="127"/>
  <c r="AX77" i="127"/>
  <c r="BB72" i="127"/>
  <c r="AZ72" i="127"/>
  <c r="BI74" i="127"/>
  <c r="AX76" i="127"/>
  <c r="AX73" i="127"/>
  <c r="BN72" i="127"/>
  <c r="BI75" i="127"/>
  <c r="BA72" i="127"/>
  <c r="CZ87" i="127"/>
  <c r="Y81" i="127"/>
  <c r="CZ109" i="127"/>
  <c r="Y103" i="127"/>
  <c r="CZ130" i="127"/>
  <c r="DE130" i="127" s="1"/>
  <c r="V125" i="127"/>
  <c r="S136" i="127"/>
  <c r="CZ140" i="127"/>
  <c r="DE140" i="127" s="1"/>
  <c r="BB121" i="127"/>
  <c r="BM121" i="127"/>
  <c r="BN120" i="127"/>
  <c r="BC120" i="127"/>
  <c r="CF82" i="127"/>
  <c r="BI85" i="127"/>
  <c r="BC83" i="127"/>
  <c r="AX87" i="127"/>
  <c r="AX84" i="127"/>
  <c r="BN83" i="127"/>
  <c r="AZ83" i="127"/>
  <c r="BL83" i="127"/>
  <c r="AX86" i="127"/>
  <c r="BA83" i="127"/>
  <c r="AY83" i="127"/>
  <c r="AX88" i="127"/>
  <c r="BM83" i="127"/>
  <c r="BI87" i="127"/>
  <c r="BI86" i="127"/>
  <c r="BK83" i="127"/>
  <c r="BJ83" i="127"/>
  <c r="AX85" i="127"/>
  <c r="BB83" i="127"/>
  <c r="BI88" i="127"/>
  <c r="BI84" i="127"/>
  <c r="BM66" i="127"/>
  <c r="BB66" i="127"/>
  <c r="BN65" i="127"/>
  <c r="BC65" i="127"/>
  <c r="BM77" i="127"/>
  <c r="BB77" i="127"/>
  <c r="BC76" i="127"/>
  <c r="BN76" i="127"/>
  <c r="AZ66" i="127"/>
  <c r="AZ65" i="127"/>
  <c r="BK66" i="127"/>
  <c r="BK65" i="127"/>
  <c r="BB63" i="127"/>
  <c r="BM63" i="127"/>
  <c r="BK64" i="127"/>
  <c r="BC63" i="127"/>
  <c r="AZ64" i="127"/>
  <c r="BA63" i="127"/>
  <c r="BN63" i="127"/>
  <c r="BL63" i="127"/>
  <c r="AY63" i="127"/>
  <c r="CI138" i="127"/>
  <c r="CG138" i="127"/>
  <c r="CF138" i="127"/>
  <c r="CH138" i="127"/>
  <c r="CE138" i="127"/>
  <c r="CH130" i="127"/>
  <c r="CJ130" i="127" s="1"/>
  <c r="BM107" i="127"/>
  <c r="BL107" i="127"/>
  <c r="AZ110" i="127"/>
  <c r="AZ108" i="127"/>
  <c r="AZ109" i="127"/>
  <c r="BC107" i="127"/>
  <c r="BB107" i="127"/>
  <c r="BK109" i="127"/>
  <c r="BA107" i="127"/>
  <c r="BK110" i="127"/>
  <c r="BK108" i="127"/>
  <c r="BN107" i="127"/>
  <c r="BK128" i="127"/>
  <c r="CH95" i="127"/>
  <c r="AY77" i="127"/>
  <c r="BL73" i="127"/>
  <c r="BJ77" i="127"/>
  <c r="BJ76" i="127"/>
  <c r="AY74" i="127"/>
  <c r="BK73" i="127"/>
  <c r="BJ74" i="127"/>
  <c r="AY75" i="127"/>
  <c r="BC73" i="127"/>
  <c r="BB73" i="127"/>
  <c r="BJ75" i="127"/>
  <c r="BA73" i="127"/>
  <c r="BN73" i="127"/>
  <c r="BM73" i="127"/>
  <c r="AY76" i="127"/>
  <c r="AZ73" i="127"/>
  <c r="AW88" i="127"/>
  <c r="AW86" i="127"/>
  <c r="BH88" i="127"/>
  <c r="BH86" i="127"/>
  <c r="BN82" i="127"/>
  <c r="AZ82" i="127"/>
  <c r="AW83" i="127"/>
  <c r="BH87" i="127"/>
  <c r="AW87" i="127"/>
  <c r="BH84" i="127"/>
  <c r="AY82" i="127"/>
  <c r="AX82" i="127"/>
  <c r="BM82" i="127"/>
  <c r="BL82" i="127"/>
  <c r="BK82" i="127"/>
  <c r="BH85" i="127"/>
  <c r="AW84" i="127"/>
  <c r="BI82" i="127"/>
  <c r="BH83" i="127"/>
  <c r="BC82" i="127"/>
  <c r="AW85" i="127"/>
  <c r="BJ82" i="127"/>
  <c r="BB82" i="127"/>
  <c r="BA82" i="127"/>
  <c r="V59" i="127"/>
  <c r="CZ64" i="127"/>
  <c r="DE64" i="127" s="1"/>
  <c r="Y92" i="127"/>
  <c r="CZ98" i="127"/>
  <c r="CZ131" i="127"/>
  <c r="DE131" i="127" s="1"/>
  <c r="Y125" i="127"/>
  <c r="AB136" i="127"/>
  <c r="CZ143" i="127"/>
  <c r="DE143" i="127" s="1"/>
  <c r="CH82" i="127"/>
  <c r="CZ65" i="127"/>
  <c r="DE65" i="127" s="1"/>
  <c r="Y59" i="127"/>
  <c r="CZ127" i="127"/>
  <c r="DE127" i="127" s="1"/>
  <c r="DB127" i="127" s="1"/>
  <c r="M125" i="127"/>
  <c r="CZ139" i="127"/>
  <c r="DE139" i="127" s="1"/>
  <c r="P136" i="127"/>
  <c r="AY64" i="127"/>
  <c r="M59" i="127" l="1"/>
  <c r="M70" i="127"/>
  <c r="BO115" i="127"/>
  <c r="BO116" i="127"/>
  <c r="CJ118" i="127"/>
  <c r="CJ104" i="127"/>
  <c r="BO104" i="127"/>
  <c r="BO109" i="127"/>
  <c r="CJ105" i="127"/>
  <c r="CJ108" i="127"/>
  <c r="CJ95" i="127"/>
  <c r="CJ97" i="127"/>
  <c r="CJ93" i="127"/>
  <c r="DA44" i="127"/>
  <c r="BJ8" i="127"/>
  <c r="CJ86" i="127"/>
  <c r="BO83" i="127"/>
  <c r="BO87" i="127"/>
  <c r="BO85" i="127"/>
  <c r="CJ82" i="127"/>
  <c r="BO82" i="127"/>
  <c r="CJ74" i="127"/>
  <c r="CJ71" i="127"/>
  <c r="BO74" i="127"/>
  <c r="BO72" i="127"/>
  <c r="CJ75" i="127"/>
  <c r="CJ61" i="127"/>
  <c r="BO62" i="127"/>
  <c r="CJ63" i="127"/>
  <c r="CJ62" i="127"/>
  <c r="DI109" i="127"/>
  <c r="DF109" i="127"/>
  <c r="DE109" i="127"/>
  <c r="DG109" i="127"/>
  <c r="DH109" i="127"/>
  <c r="AN139" i="127"/>
  <c r="AU139" i="127"/>
  <c r="BD139" i="127"/>
  <c r="DG88" i="127"/>
  <c r="DI88" i="127"/>
  <c r="DH88" i="127"/>
  <c r="DF88" i="127"/>
  <c r="DE88" i="127"/>
  <c r="AU62" i="127"/>
  <c r="BD62" i="127"/>
  <c r="AN62" i="127"/>
  <c r="DE129" i="127"/>
  <c r="DE134" i="127"/>
  <c r="DI86" i="127"/>
  <c r="DF86" i="127"/>
  <c r="DH86" i="127"/>
  <c r="DG86" i="127"/>
  <c r="DE86" i="127"/>
  <c r="BD96" i="127"/>
  <c r="AU96" i="127"/>
  <c r="AN96" i="127"/>
  <c r="BO118" i="127"/>
  <c r="BF245" i="127"/>
  <c r="DB139" i="127"/>
  <c r="DB131" i="127"/>
  <c r="BD84" i="127"/>
  <c r="AU84" i="127"/>
  <c r="AN84" i="127"/>
  <c r="CJ138" i="127"/>
  <c r="DG87" i="127"/>
  <c r="DI87" i="127"/>
  <c r="DH87" i="127"/>
  <c r="DF87" i="127"/>
  <c r="DE87" i="127"/>
  <c r="DG96" i="127"/>
  <c r="DI96" i="127"/>
  <c r="DH96" i="127"/>
  <c r="DF96" i="127"/>
  <c r="DE96" i="127"/>
  <c r="AU76" i="127"/>
  <c r="BD76" i="127"/>
  <c r="AN76" i="127"/>
  <c r="BO127" i="127"/>
  <c r="BO129" i="127"/>
  <c r="AU109" i="127"/>
  <c r="BD109" i="127"/>
  <c r="AN109" i="127"/>
  <c r="AU120" i="127"/>
  <c r="AN120" i="127"/>
  <c r="BD120" i="127"/>
  <c r="DI74" i="127"/>
  <c r="DH74" i="127"/>
  <c r="DG74" i="127"/>
  <c r="DE74" i="127"/>
  <c r="DF74" i="127"/>
  <c r="AU140" i="127"/>
  <c r="AN140" i="127"/>
  <c r="BD140" i="127"/>
  <c r="AU138" i="127"/>
  <c r="AN138" i="127"/>
  <c r="BD138" i="127"/>
  <c r="CJ117" i="127"/>
  <c r="AU63" i="127"/>
  <c r="BD63" i="127"/>
  <c r="AN63" i="127"/>
  <c r="AU61" i="127"/>
  <c r="BD61" i="127"/>
  <c r="AN61" i="127"/>
  <c r="DI107" i="127"/>
  <c r="DH107" i="127"/>
  <c r="DF107" i="127"/>
  <c r="DE107" i="127"/>
  <c r="DG107" i="127"/>
  <c r="DG120" i="127"/>
  <c r="DH120" i="127"/>
  <c r="DF120" i="127"/>
  <c r="DE120" i="127"/>
  <c r="DI120" i="127"/>
  <c r="BF244" i="127"/>
  <c r="DB128" i="127"/>
  <c r="AU73" i="127"/>
  <c r="BD73" i="127"/>
  <c r="AN73" i="127"/>
  <c r="CJ119" i="127"/>
  <c r="AU95" i="127"/>
  <c r="AN95" i="127"/>
  <c r="BD95" i="127"/>
  <c r="DI98" i="127"/>
  <c r="DE98" i="127"/>
  <c r="DH98" i="127"/>
  <c r="DG98" i="127"/>
  <c r="DF98" i="127"/>
  <c r="BO86" i="127"/>
  <c r="DB142" i="127"/>
  <c r="AU77" i="127"/>
  <c r="AN77" i="127"/>
  <c r="BD77" i="127"/>
  <c r="BO73" i="127"/>
  <c r="BD108" i="127"/>
  <c r="AN108" i="127"/>
  <c r="AU108" i="127"/>
  <c r="BO139" i="127"/>
  <c r="AU143" i="127"/>
  <c r="AN143" i="127"/>
  <c r="BD143" i="127"/>
  <c r="CJ85" i="127"/>
  <c r="AU64" i="127"/>
  <c r="BD64" i="127"/>
  <c r="AN64" i="127"/>
  <c r="DH108" i="127"/>
  <c r="DG108" i="127"/>
  <c r="DF108" i="127"/>
  <c r="DE108" i="127"/>
  <c r="DI108" i="127"/>
  <c r="CJ64" i="127"/>
  <c r="BF242" i="127"/>
  <c r="BO96" i="127"/>
  <c r="CJ128" i="127"/>
  <c r="AU106" i="127"/>
  <c r="BD106" i="127"/>
  <c r="AN106" i="127"/>
  <c r="DF119" i="127"/>
  <c r="DI119" i="127"/>
  <c r="DH119" i="127"/>
  <c r="DG119" i="127"/>
  <c r="DE119" i="127"/>
  <c r="BD142" i="127"/>
  <c r="AU142" i="127"/>
  <c r="AN142" i="127"/>
  <c r="BO88" i="127"/>
  <c r="BD74" i="127"/>
  <c r="AN74" i="127"/>
  <c r="AU74" i="127"/>
  <c r="AU130" i="127"/>
  <c r="BD130" i="127"/>
  <c r="AN130" i="127"/>
  <c r="BO128" i="127"/>
  <c r="BO105" i="127"/>
  <c r="AU117" i="127"/>
  <c r="AN117" i="127"/>
  <c r="BD117" i="127"/>
  <c r="AU119" i="127"/>
  <c r="BD119" i="127"/>
  <c r="AN119" i="127"/>
  <c r="BD60" i="127"/>
  <c r="AN60" i="127"/>
  <c r="AU60" i="127"/>
  <c r="BO63" i="127"/>
  <c r="CJ127" i="127"/>
  <c r="BO98" i="127"/>
  <c r="BO97" i="127"/>
  <c r="BK15" i="127"/>
  <c r="BS11" i="127"/>
  <c r="BT10" i="127" s="1"/>
  <c r="BL19" i="127"/>
  <c r="AX13" i="127"/>
  <c r="BJ16" i="127"/>
  <c r="BB10" i="127"/>
  <c r="DC40" i="127"/>
  <c r="AX10" i="127"/>
  <c r="BB13" i="127"/>
  <c r="AX11" i="127"/>
  <c r="AX12" i="127"/>
  <c r="BB11" i="127"/>
  <c r="BB12" i="127"/>
  <c r="DB64" i="127"/>
  <c r="AU86" i="127"/>
  <c r="AN86" i="127"/>
  <c r="BD86" i="127"/>
  <c r="DB140" i="127"/>
  <c r="DG97" i="127"/>
  <c r="DF97" i="127"/>
  <c r="DE97" i="127"/>
  <c r="DI97" i="127"/>
  <c r="DH97" i="127"/>
  <c r="BO76" i="127"/>
  <c r="BO126" i="127"/>
  <c r="AU129" i="127"/>
  <c r="AN129" i="127"/>
  <c r="BD129" i="127"/>
  <c r="CJ129" i="127"/>
  <c r="BO108" i="127"/>
  <c r="BO117" i="127"/>
  <c r="AU115" i="127"/>
  <c r="BD115" i="127"/>
  <c r="AN115" i="127"/>
  <c r="AU141" i="127"/>
  <c r="AN141" i="127"/>
  <c r="BD141" i="127"/>
  <c r="BO64" i="127"/>
  <c r="CJ115" i="127"/>
  <c r="DI76" i="127"/>
  <c r="DH76" i="127"/>
  <c r="DG76" i="127"/>
  <c r="DF76" i="127"/>
  <c r="DE76" i="127"/>
  <c r="DF85" i="127"/>
  <c r="DG85" i="127"/>
  <c r="DE85" i="127"/>
  <c r="DH85" i="127"/>
  <c r="DI85" i="127"/>
  <c r="DB65" i="127"/>
  <c r="BD88" i="127"/>
  <c r="AU88" i="127"/>
  <c r="AN88" i="127"/>
  <c r="BO77" i="127"/>
  <c r="BD127" i="127"/>
  <c r="AN127" i="127"/>
  <c r="AU127" i="127"/>
  <c r="BO131" i="127"/>
  <c r="CJ60" i="127"/>
  <c r="BO110" i="127"/>
  <c r="AU118" i="127"/>
  <c r="BD118" i="127"/>
  <c r="AN118" i="127"/>
  <c r="BO65" i="127"/>
  <c r="BD98" i="127"/>
  <c r="AN98" i="127"/>
  <c r="AU98" i="127"/>
  <c r="BO93" i="127"/>
  <c r="AU83" i="127"/>
  <c r="AN83" i="127"/>
  <c r="BD83" i="127"/>
  <c r="AU82" i="127"/>
  <c r="AN82" i="127"/>
  <c r="BD82" i="127"/>
  <c r="BF238" i="127"/>
  <c r="BO75" i="127"/>
  <c r="BO130" i="127"/>
  <c r="BD110" i="127"/>
  <c r="AN110" i="127"/>
  <c r="AU110" i="127"/>
  <c r="BD116" i="127"/>
  <c r="AU116" i="127"/>
  <c r="AN116" i="127"/>
  <c r="BO143" i="127"/>
  <c r="AN137" i="127"/>
  <c r="BD137" i="127"/>
  <c r="AU137" i="127"/>
  <c r="BO66" i="127"/>
  <c r="BO99" i="127"/>
  <c r="BO94" i="127"/>
  <c r="CJ72" i="127"/>
  <c r="BO140" i="127"/>
  <c r="DB130" i="127"/>
  <c r="CJ96" i="127"/>
  <c r="DB132" i="127"/>
  <c r="BO71" i="127"/>
  <c r="AU71" i="127"/>
  <c r="BD71" i="127"/>
  <c r="AN71" i="127"/>
  <c r="BD126" i="127"/>
  <c r="AN126" i="127"/>
  <c r="AU126" i="127"/>
  <c r="BO132" i="127"/>
  <c r="AU104" i="127"/>
  <c r="AN104" i="127"/>
  <c r="BD104" i="127"/>
  <c r="BO107" i="127"/>
  <c r="BO120" i="127"/>
  <c r="BF241" i="127"/>
  <c r="BO61" i="127"/>
  <c r="BD65" i="127"/>
  <c r="AN65" i="127"/>
  <c r="AU65" i="127"/>
  <c r="BD93" i="127"/>
  <c r="AN93" i="127"/>
  <c r="AU93" i="127"/>
  <c r="DB141" i="127"/>
  <c r="BO84" i="127"/>
  <c r="CJ116" i="127"/>
  <c r="AN132" i="127"/>
  <c r="BD132" i="127"/>
  <c r="AU132" i="127"/>
  <c r="DF77" i="127"/>
  <c r="DG77" i="127"/>
  <c r="DE77" i="127"/>
  <c r="DH77" i="127"/>
  <c r="DI77" i="127"/>
  <c r="AU105" i="127"/>
  <c r="AN105" i="127"/>
  <c r="BD105" i="127"/>
  <c r="DB66" i="127"/>
  <c r="BO119" i="127"/>
  <c r="BO141" i="127"/>
  <c r="BO142" i="127"/>
  <c r="DE75" i="127"/>
  <c r="DI75" i="127"/>
  <c r="DH75" i="127"/>
  <c r="DG75" i="127"/>
  <c r="DF75" i="127"/>
  <c r="BD66" i="127"/>
  <c r="AN66" i="127"/>
  <c r="AU66" i="127"/>
  <c r="CJ106" i="127"/>
  <c r="BO95" i="127"/>
  <c r="BD131" i="127"/>
  <c r="AN131" i="127"/>
  <c r="AU131" i="127"/>
  <c r="AU85" i="127"/>
  <c r="AN85" i="127"/>
  <c r="BD85" i="127"/>
  <c r="AU87" i="127"/>
  <c r="AN87" i="127"/>
  <c r="BD87" i="127"/>
  <c r="BF239" i="127"/>
  <c r="DI99" i="127"/>
  <c r="DH99" i="127"/>
  <c r="DF99" i="127"/>
  <c r="DE99" i="127"/>
  <c r="DG99" i="127"/>
  <c r="AU72" i="127"/>
  <c r="AN72" i="127"/>
  <c r="BD72" i="127"/>
  <c r="BO106" i="127"/>
  <c r="BO121" i="127"/>
  <c r="CJ126" i="127"/>
  <c r="DI110" i="127"/>
  <c r="DG110" i="127"/>
  <c r="DF110" i="127"/>
  <c r="DH110" i="127"/>
  <c r="DE110" i="127"/>
  <c r="BO60" i="127"/>
  <c r="CJ73" i="127"/>
  <c r="AU99" i="127"/>
  <c r="AN99" i="127"/>
  <c r="BD99" i="127"/>
  <c r="BD94" i="127"/>
  <c r="AN94" i="127"/>
  <c r="AU94" i="127"/>
  <c r="BF243" i="127"/>
  <c r="DB143" i="127"/>
  <c r="CJ139" i="127"/>
  <c r="CJ83" i="127"/>
  <c r="CJ84" i="127"/>
  <c r="BD75" i="127"/>
  <c r="AN75" i="127"/>
  <c r="AU75" i="127"/>
  <c r="BD128" i="127"/>
  <c r="AN128" i="127"/>
  <c r="AU128" i="127"/>
  <c r="CJ94" i="127"/>
  <c r="AU107" i="127"/>
  <c r="BD107" i="127"/>
  <c r="AN107" i="127"/>
  <c r="BF240" i="127"/>
  <c r="AU121" i="127"/>
  <c r="BD121" i="127"/>
  <c r="AN121" i="127"/>
  <c r="CJ107" i="127"/>
  <c r="BO138" i="127"/>
  <c r="CJ140" i="127"/>
  <c r="DI118" i="127"/>
  <c r="DH118" i="127"/>
  <c r="DE118" i="127"/>
  <c r="DG118" i="127"/>
  <c r="DF118" i="127"/>
  <c r="DE121" i="127"/>
  <c r="DI121" i="127"/>
  <c r="DH121" i="127"/>
  <c r="DG121" i="127"/>
  <c r="DF121" i="127"/>
  <c r="AU97" i="127"/>
  <c r="BD97" i="127"/>
  <c r="AN97" i="127"/>
  <c r="BJ13" i="127"/>
  <c r="BJ12" i="127"/>
  <c r="BC246" i="127" l="1"/>
  <c r="BT242" i="127"/>
  <c r="BS230" i="127"/>
  <c r="BH230" i="127" s="1"/>
  <c r="AA230" i="127" s="1"/>
  <c r="AL230" i="127" s="1"/>
  <c r="BT234" i="127"/>
  <c r="BS224" i="127"/>
  <c r="BH224" i="127" s="1"/>
  <c r="AA224" i="127" s="1"/>
  <c r="AL224" i="127" s="1"/>
  <c r="BB242" i="127"/>
  <c r="BC242" i="127"/>
  <c r="BB246" i="127"/>
  <c r="BD242" i="127"/>
  <c r="BE97" i="127"/>
  <c r="AO97" i="127"/>
  <c r="BR97" i="127"/>
  <c r="AO132" i="127"/>
  <c r="BE132" i="127"/>
  <c r="BR132" i="127"/>
  <c r="BE65" i="127"/>
  <c r="AO65" i="127"/>
  <c r="BR65" i="127"/>
  <c r="BE116" i="127"/>
  <c r="AO116" i="127"/>
  <c r="BR116" i="127"/>
  <c r="AO83" i="127"/>
  <c r="BE83" i="127"/>
  <c r="BR83" i="127"/>
  <c r="BE64" i="127"/>
  <c r="AO64" i="127"/>
  <c r="BR64" i="127"/>
  <c r="AO95" i="127"/>
  <c r="BE95" i="127"/>
  <c r="BR95" i="127"/>
  <c r="BE63" i="127"/>
  <c r="AO63" i="127"/>
  <c r="BR63" i="127"/>
  <c r="BE96" i="127"/>
  <c r="AO96" i="127"/>
  <c r="BR96" i="127"/>
  <c r="DB110" i="127"/>
  <c r="DB99" i="127"/>
  <c r="BE126" i="127"/>
  <c r="AO126" i="127"/>
  <c r="BR126" i="127"/>
  <c r="BE117" i="127"/>
  <c r="AO117" i="127"/>
  <c r="BR117" i="127"/>
  <c r="DB86" i="127"/>
  <c r="AO128" i="127"/>
  <c r="BE128" i="127"/>
  <c r="BR128" i="127"/>
  <c r="BE105" i="127"/>
  <c r="AO105" i="127"/>
  <c r="BR105" i="127"/>
  <c r="BE71" i="127"/>
  <c r="AO71" i="127"/>
  <c r="BR71" i="127"/>
  <c r="AO110" i="127"/>
  <c r="BE110" i="127"/>
  <c r="BR110" i="127"/>
  <c r="BE86" i="127"/>
  <c r="AO86" i="127"/>
  <c r="BR86" i="127"/>
  <c r="BE142" i="127"/>
  <c r="BR142" i="127"/>
  <c r="AO142" i="127"/>
  <c r="BE143" i="127"/>
  <c r="AO143" i="127"/>
  <c r="BR143" i="127"/>
  <c r="BR138" i="127"/>
  <c r="AO138" i="127"/>
  <c r="BE138" i="127"/>
  <c r="BE121" i="127"/>
  <c r="AO121" i="127"/>
  <c r="BR121" i="127"/>
  <c r="AO131" i="127"/>
  <c r="BE131" i="127"/>
  <c r="BR131" i="127"/>
  <c r="AU78" i="127"/>
  <c r="DB119" i="127"/>
  <c r="AO139" i="127"/>
  <c r="BE139" i="127"/>
  <c r="BR139" i="127"/>
  <c r="BE84" i="127"/>
  <c r="AO84" i="127"/>
  <c r="BR84" i="127"/>
  <c r="BE141" i="127"/>
  <c r="AO141" i="127"/>
  <c r="BR141" i="127"/>
  <c r="BE73" i="127"/>
  <c r="AO73" i="127"/>
  <c r="BR73" i="127"/>
  <c r="DB121" i="127"/>
  <c r="BE75" i="127"/>
  <c r="AO75" i="127"/>
  <c r="BR75" i="127"/>
  <c r="AU144" i="127"/>
  <c r="BE98" i="127"/>
  <c r="AO98" i="127"/>
  <c r="BR98" i="127"/>
  <c r="BE127" i="127"/>
  <c r="AO127" i="127"/>
  <c r="BR127" i="127"/>
  <c r="AO140" i="127"/>
  <c r="BE140" i="127"/>
  <c r="BR140" i="127"/>
  <c r="BE109" i="127"/>
  <c r="AO109" i="127"/>
  <c r="BR109" i="127"/>
  <c r="DB87" i="127"/>
  <c r="BR120" i="127"/>
  <c r="BE120" i="127"/>
  <c r="AO120" i="127"/>
  <c r="AO94" i="127"/>
  <c r="BR94" i="127"/>
  <c r="BE94" i="127"/>
  <c r="AU100" i="127"/>
  <c r="BE104" i="127"/>
  <c r="AO104" i="127"/>
  <c r="BR104" i="127"/>
  <c r="BE137" i="127"/>
  <c r="BR137" i="127"/>
  <c r="AO137" i="127"/>
  <c r="BT226" i="127"/>
  <c r="AU67" i="127"/>
  <c r="BE130" i="127"/>
  <c r="AO130" i="127"/>
  <c r="BR130" i="127"/>
  <c r="BS130" i="127" s="1"/>
  <c r="DB108" i="127"/>
  <c r="DB129" i="127"/>
  <c r="BE99" i="127"/>
  <c r="AO99" i="127"/>
  <c r="BR99" i="127"/>
  <c r="BE87" i="127"/>
  <c r="AO87" i="127"/>
  <c r="BR87" i="127"/>
  <c r="DB77" i="127"/>
  <c r="BE246" i="127"/>
  <c r="AT246" i="127" s="1"/>
  <c r="G246" i="127" s="1"/>
  <c r="L246" i="127" s="1"/>
  <c r="BE129" i="127"/>
  <c r="AO129" i="127"/>
  <c r="BR129" i="127"/>
  <c r="BK12" i="127"/>
  <c r="BS10" i="127"/>
  <c r="BU10" i="127" s="1"/>
  <c r="BE72" i="127"/>
  <c r="AO72" i="127"/>
  <c r="BR72" i="127"/>
  <c r="BE66" i="127"/>
  <c r="AO66" i="127"/>
  <c r="BR66" i="127"/>
  <c r="BD246" i="127"/>
  <c r="BE93" i="127"/>
  <c r="AO93" i="127"/>
  <c r="BR93" i="127"/>
  <c r="AU111" i="127"/>
  <c r="BE82" i="127"/>
  <c r="AO82" i="127"/>
  <c r="BR82" i="127"/>
  <c r="AO115" i="127"/>
  <c r="BE115" i="127"/>
  <c r="BR115" i="127"/>
  <c r="DB97" i="127"/>
  <c r="BB238" i="127"/>
  <c r="BS13" i="127"/>
  <c r="BT12" i="127" s="1"/>
  <c r="BK16" i="127"/>
  <c r="DC42" i="127"/>
  <c r="DC51" i="127" s="1"/>
  <c r="DI51" i="127" s="1"/>
  <c r="BL20" i="127"/>
  <c r="BE60" i="127"/>
  <c r="AO60" i="127"/>
  <c r="BR60" i="127"/>
  <c r="AO108" i="127"/>
  <c r="BE108" i="127"/>
  <c r="BR108" i="127"/>
  <c r="BE61" i="127"/>
  <c r="AO61" i="127"/>
  <c r="BR61" i="127"/>
  <c r="BE62" i="127"/>
  <c r="AO62" i="127"/>
  <c r="BR62" i="127"/>
  <c r="DB109" i="127"/>
  <c r="BS12" i="127"/>
  <c r="BC13" i="127"/>
  <c r="BK13" i="127"/>
  <c r="AY13" i="127"/>
  <c r="AZ13" i="127" s="1"/>
  <c r="BC12" i="127"/>
  <c r="BC11" i="127"/>
  <c r="BD11" i="127" s="1"/>
  <c r="BC10" i="127"/>
  <c r="BD10" i="127" s="1"/>
  <c r="AY12" i="127"/>
  <c r="AZ12" i="127" s="1"/>
  <c r="AY11" i="127"/>
  <c r="AZ11" i="127" s="1"/>
  <c r="AY10" i="127"/>
  <c r="AZ10" i="127" s="1"/>
  <c r="BR107" i="127"/>
  <c r="AO107" i="127"/>
  <c r="BE107" i="127"/>
  <c r="AA242" i="127"/>
  <c r="BE88" i="127"/>
  <c r="AO88" i="127"/>
  <c r="BR88" i="127"/>
  <c r="DB76" i="127"/>
  <c r="AU122" i="127"/>
  <c r="BC238" i="127"/>
  <c r="BE106" i="127"/>
  <c r="AO106" i="127"/>
  <c r="BR106" i="127"/>
  <c r="DB98" i="127"/>
  <c r="AV246" i="127"/>
  <c r="BF246" i="127"/>
  <c r="BE240" i="127"/>
  <c r="AT240" i="127" s="1"/>
  <c r="G240" i="127" s="1"/>
  <c r="L240" i="127" s="1"/>
  <c r="BC234" i="127"/>
  <c r="BB234" i="127"/>
  <c r="BE85" i="127"/>
  <c r="AO85" i="127"/>
  <c r="BR85" i="127"/>
  <c r="BJ242" i="127"/>
  <c r="AU133" i="127"/>
  <c r="AU89" i="127"/>
  <c r="BE118" i="127"/>
  <c r="AO118" i="127"/>
  <c r="BR118" i="127"/>
  <c r="BD238" i="127"/>
  <c r="BL21" i="127"/>
  <c r="BE119" i="127"/>
  <c r="AO119" i="127"/>
  <c r="BR119" i="127"/>
  <c r="BE74" i="127"/>
  <c r="AO74" i="127"/>
  <c r="BR74" i="127"/>
  <c r="AO77" i="127"/>
  <c r="BE77" i="127"/>
  <c r="BR77" i="127"/>
  <c r="DB120" i="127"/>
  <c r="BE76" i="127"/>
  <c r="AO76" i="127"/>
  <c r="BR76" i="127"/>
  <c r="DB88" i="127"/>
  <c r="BS118" i="127" l="1"/>
  <c r="BZ118" i="127" s="1"/>
  <c r="BS105" i="127"/>
  <c r="AP105" i="127" s="1"/>
  <c r="BS95" i="127"/>
  <c r="BZ95" i="127" s="1"/>
  <c r="BS72" i="127"/>
  <c r="BZ72" i="127" s="1"/>
  <c r="BI18" i="127"/>
  <c r="V42" i="127" s="1"/>
  <c r="BS66" i="127"/>
  <c r="AP66" i="127" s="1"/>
  <c r="BU12" i="127"/>
  <c r="BV11" i="127" s="1"/>
  <c r="V40" i="127" s="1"/>
  <c r="BJ243" i="127"/>
  <c r="BS231" i="127"/>
  <c r="BH231" i="127" s="1"/>
  <c r="AA231" i="127" s="1"/>
  <c r="AL231" i="127" s="1"/>
  <c r="AA243" i="127"/>
  <c r="AL243" i="127" s="1"/>
  <c r="BB247" i="127"/>
  <c r="BT243" i="127"/>
  <c r="BC247" i="127"/>
  <c r="BD247" i="127"/>
  <c r="BL22" i="127"/>
  <c r="DD49" i="127"/>
  <c r="DJ49" i="127" s="1"/>
  <c r="BR89" i="127"/>
  <c r="BS82" i="127"/>
  <c r="BR144" i="127"/>
  <c r="BS137" i="127"/>
  <c r="BS119" i="127"/>
  <c r="BS88" i="127"/>
  <c r="BS87" i="127"/>
  <c r="DD50" i="127"/>
  <c r="DJ50" i="127" s="1"/>
  <c r="BS116" i="127"/>
  <c r="BS141" i="127"/>
  <c r="BR111" i="127"/>
  <c r="BS104" i="127"/>
  <c r="BS106" i="127"/>
  <c r="BS61" i="127"/>
  <c r="AP130" i="127"/>
  <c r="BZ130" i="127"/>
  <c r="BS127" i="127"/>
  <c r="BR133" i="127"/>
  <c r="BS126" i="127"/>
  <c r="BS97" i="127"/>
  <c r="DC48" i="127"/>
  <c r="DI48" i="127" s="1"/>
  <c r="BS85" i="127"/>
  <c r="BS93" i="127"/>
  <c r="BR100" i="127"/>
  <c r="BS99" i="127"/>
  <c r="BS131" i="127"/>
  <c r="BS86" i="127"/>
  <c r="BS142" i="127"/>
  <c r="BS107" i="127"/>
  <c r="BS65" i="127"/>
  <c r="BS77" i="127"/>
  <c r="BS108" i="127"/>
  <c r="BS98" i="127"/>
  <c r="BS128" i="127"/>
  <c r="BS64" i="127"/>
  <c r="DC50" i="127"/>
  <c r="DI50" i="127" s="1"/>
  <c r="BS94" i="127"/>
  <c r="BS109" i="127"/>
  <c r="BS121" i="127"/>
  <c r="BS96" i="127"/>
  <c r="BZ66" i="127"/>
  <c r="DC49" i="127"/>
  <c r="DI49" i="127" s="1"/>
  <c r="BS84" i="127"/>
  <c r="BS110" i="127"/>
  <c r="BS132" i="127"/>
  <c r="BS76" i="127"/>
  <c r="BR122" i="127"/>
  <c r="BS115" i="127"/>
  <c r="DD51" i="127"/>
  <c r="DJ51" i="127" s="1"/>
  <c r="BS138" i="127"/>
  <c r="BS74" i="127"/>
  <c r="AL242" i="127"/>
  <c r="BS62" i="127"/>
  <c r="BS60" i="127"/>
  <c r="BR67" i="127"/>
  <c r="DD48" i="127"/>
  <c r="DJ48" i="127" s="1"/>
  <c r="BS140" i="127"/>
  <c r="BS143" i="127"/>
  <c r="BS117" i="127"/>
  <c r="BS83" i="127"/>
  <c r="BS225" i="127"/>
  <c r="BH225" i="127" s="1"/>
  <c r="AA225" i="127" s="1"/>
  <c r="AL225" i="127" s="1"/>
  <c r="BS129" i="127"/>
  <c r="BS120" i="127"/>
  <c r="BS75" i="127"/>
  <c r="BS73" i="127"/>
  <c r="BS139" i="127"/>
  <c r="BR78" i="127"/>
  <c r="BS71" i="127"/>
  <c r="BS63" i="127"/>
  <c r="AP118" i="127" l="1"/>
  <c r="BZ105" i="127"/>
  <c r="BS226" i="127"/>
  <c r="BH226" i="127" s="1"/>
  <c r="AA226" i="127" s="1"/>
  <c r="BS227" i="127" s="1"/>
  <c r="BH227" i="127" s="1"/>
  <c r="AA227" i="127" s="1"/>
  <c r="BS232" i="127"/>
  <c r="BH232" i="127" s="1"/>
  <c r="AA232" i="127" s="1"/>
  <c r="BJ226" i="127"/>
  <c r="AP95" i="127"/>
  <c r="AP72" i="127"/>
  <c r="BJ244" i="127"/>
  <c r="BT244" i="127"/>
  <c r="AA244" i="127"/>
  <c r="BT245" i="127" s="1"/>
  <c r="BZ138" i="127"/>
  <c r="AP138" i="127"/>
  <c r="AP77" i="127"/>
  <c r="BZ77" i="127"/>
  <c r="BS100" i="127"/>
  <c r="BT100" i="127" s="1"/>
  <c r="BZ93" i="127"/>
  <c r="AP93" i="127"/>
  <c r="AP83" i="127"/>
  <c r="BZ83" i="127"/>
  <c r="BZ71" i="127"/>
  <c r="BS78" i="127"/>
  <c r="BT78" i="127" s="1"/>
  <c r="AP71" i="127"/>
  <c r="BS122" i="127"/>
  <c r="BT122" i="127" s="1"/>
  <c r="BZ115" i="127"/>
  <c r="AP115" i="127"/>
  <c r="BZ142" i="127"/>
  <c r="AP142" i="127"/>
  <c r="AP85" i="127"/>
  <c r="BZ85" i="127"/>
  <c r="AP141" i="127"/>
  <c r="AM141" i="127" s="1"/>
  <c r="CY141" i="127" s="1"/>
  <c r="BZ141" i="127"/>
  <c r="BS144" i="127"/>
  <c r="AP137" i="127"/>
  <c r="BZ137" i="127"/>
  <c r="BZ116" i="127"/>
  <c r="AP116" i="127"/>
  <c r="BT144" i="127"/>
  <c r="BZ139" i="127"/>
  <c r="AP139" i="127"/>
  <c r="AM139" i="127" s="1"/>
  <c r="CY139" i="127" s="1"/>
  <c r="AP143" i="127"/>
  <c r="AM143" i="127" s="1"/>
  <c r="CY143" i="127" s="1"/>
  <c r="BZ143" i="127"/>
  <c r="BZ65" i="127"/>
  <c r="AP65" i="127"/>
  <c r="BZ86" i="127"/>
  <c r="AP86" i="127"/>
  <c r="BZ61" i="127"/>
  <c r="AP61" i="127"/>
  <c r="AP73" i="127"/>
  <c r="BZ73" i="127"/>
  <c r="AP76" i="127"/>
  <c r="BZ76" i="127"/>
  <c r="BZ64" i="127"/>
  <c r="AP64" i="127"/>
  <c r="BZ106" i="127"/>
  <c r="AP106" i="127"/>
  <c r="AP75" i="127"/>
  <c r="BZ75" i="127"/>
  <c r="BZ140" i="127"/>
  <c r="AP140" i="127"/>
  <c r="AP128" i="127"/>
  <c r="AM128" i="127" s="1"/>
  <c r="CY128" i="127" s="1"/>
  <c r="BZ128" i="127"/>
  <c r="AP131" i="127"/>
  <c r="BZ131" i="127"/>
  <c r="AP97" i="127"/>
  <c r="BZ97" i="127"/>
  <c r="AP82" i="127"/>
  <c r="BS89" i="127"/>
  <c r="BT89" i="127" s="1"/>
  <c r="BZ82" i="127"/>
  <c r="BZ120" i="127"/>
  <c r="AP120" i="127"/>
  <c r="BZ74" i="127"/>
  <c r="AP74" i="127"/>
  <c r="AP132" i="127"/>
  <c r="AM132" i="127" s="1"/>
  <c r="CY132" i="127" s="1"/>
  <c r="BZ132" i="127"/>
  <c r="AP104" i="127"/>
  <c r="AM105" i="127" s="1"/>
  <c r="CY105" i="127" s="1"/>
  <c r="BS111" i="127"/>
  <c r="BT111" i="127" s="1"/>
  <c r="BZ104" i="127"/>
  <c r="AP117" i="127"/>
  <c r="AM117" i="127" s="1"/>
  <c r="CY117" i="127" s="1"/>
  <c r="BZ117" i="127"/>
  <c r="AP96" i="127"/>
  <c r="BZ96" i="127"/>
  <c r="AP98" i="127"/>
  <c r="AM98" i="127" s="1"/>
  <c r="CY98" i="127" s="1"/>
  <c r="BZ98" i="127"/>
  <c r="BS133" i="127"/>
  <c r="BT133" i="127" s="1"/>
  <c r="BZ126" i="127"/>
  <c r="AP126" i="127"/>
  <c r="BZ87" i="127"/>
  <c r="AP87" i="127"/>
  <c r="AP129" i="127"/>
  <c r="BZ129" i="127"/>
  <c r="AP110" i="127"/>
  <c r="AM110" i="127" s="1"/>
  <c r="CY110" i="127" s="1"/>
  <c r="BZ110" i="127"/>
  <c r="BZ84" i="127"/>
  <c r="AP84" i="127"/>
  <c r="BZ121" i="127"/>
  <c r="AP121" i="127"/>
  <c r="AM121" i="127" s="1"/>
  <c r="CY121" i="127" s="1"/>
  <c r="BZ99" i="127"/>
  <c r="AP99" i="127"/>
  <c r="BZ88" i="127"/>
  <c r="AP88" i="127"/>
  <c r="BS67" i="127"/>
  <c r="BT67" i="127" s="1"/>
  <c r="AP60" i="127"/>
  <c r="BZ60" i="127"/>
  <c r="BZ109" i="127"/>
  <c r="AP109" i="127"/>
  <c r="AP108" i="127"/>
  <c r="BZ108" i="127"/>
  <c r="BZ63" i="127"/>
  <c r="AP63" i="127"/>
  <c r="BZ62" i="127"/>
  <c r="AP62" i="127"/>
  <c r="BZ94" i="127"/>
  <c r="AP94" i="127"/>
  <c r="BZ107" i="127"/>
  <c r="AP107" i="127"/>
  <c r="BZ127" i="127"/>
  <c r="AP127" i="127"/>
  <c r="AP119" i="127"/>
  <c r="AM119" i="127" s="1"/>
  <c r="CY119" i="127" s="1"/>
  <c r="BZ119" i="127"/>
  <c r="AL227" i="127" l="1"/>
  <c r="BJ228" i="127"/>
  <c r="AL232" i="127"/>
  <c r="BS233" i="127"/>
  <c r="BH233" i="127" s="1"/>
  <c r="AA233" i="127" s="1"/>
  <c r="BJ234" i="127" s="1"/>
  <c r="AL226" i="127"/>
  <c r="BT228" i="127"/>
  <c r="BS228" i="127"/>
  <c r="BH228" i="127" s="1"/>
  <c r="AA228" i="127" s="1"/>
  <c r="AL228" i="127" s="1"/>
  <c r="AM88" i="127"/>
  <c r="CY88" i="127" s="1"/>
  <c r="AM74" i="127"/>
  <c r="CY74" i="127" s="1"/>
  <c r="AM76" i="127"/>
  <c r="CY76" i="127" s="1"/>
  <c r="BZ78" i="127"/>
  <c r="AM63" i="127"/>
  <c r="CY63" i="127" s="1"/>
  <c r="AA245" i="127"/>
  <c r="AL245" i="127" s="1"/>
  <c r="AL244" i="127"/>
  <c r="BJ245" i="127"/>
  <c r="AM99" i="127"/>
  <c r="CY99" i="127" s="1"/>
  <c r="AM129" i="127"/>
  <c r="CY129" i="127" s="1"/>
  <c r="AM96" i="127"/>
  <c r="CY96" i="127" s="1"/>
  <c r="AM140" i="127"/>
  <c r="CY140" i="127" s="1"/>
  <c r="AM73" i="127"/>
  <c r="CY73" i="127" s="1"/>
  <c r="AM120" i="127"/>
  <c r="CY120" i="127" s="1"/>
  <c r="AM61" i="127"/>
  <c r="CY61" i="127" s="1"/>
  <c r="AM85" i="127"/>
  <c r="CY85" i="127" s="1"/>
  <c r="AM83" i="127"/>
  <c r="CY83" i="127" s="1"/>
  <c r="AM127" i="127"/>
  <c r="CY127" i="127" s="1"/>
  <c r="AM87" i="127"/>
  <c r="CY87" i="127" s="1"/>
  <c r="AM118" i="127"/>
  <c r="CY118" i="127" s="1"/>
  <c r="AM116" i="127"/>
  <c r="CY116" i="127" s="1"/>
  <c r="AM142" i="127"/>
  <c r="CY142" i="127" s="1"/>
  <c r="AP100" i="127"/>
  <c r="AM93" i="127"/>
  <c r="CY93" i="127" s="1"/>
  <c r="AM108" i="127"/>
  <c r="CY108" i="127" s="1"/>
  <c r="BZ89" i="127"/>
  <c r="AM75" i="127"/>
  <c r="CY75" i="127" s="1"/>
  <c r="BZ100" i="127"/>
  <c r="AM84" i="127"/>
  <c r="CY84" i="127" s="1"/>
  <c r="AM106" i="127"/>
  <c r="CY106" i="127" s="1"/>
  <c r="AM72" i="127"/>
  <c r="CY72" i="127" s="1"/>
  <c r="AM130" i="127"/>
  <c r="CY130" i="127" s="1"/>
  <c r="AP122" i="127"/>
  <c r="AM115" i="127"/>
  <c r="CY115" i="127" s="1"/>
  <c r="AM107" i="127"/>
  <c r="CY107" i="127" s="1"/>
  <c r="AP133" i="127"/>
  <c r="AM126" i="127"/>
  <c r="CY126" i="127" s="1"/>
  <c r="AP89" i="127"/>
  <c r="AM82" i="127"/>
  <c r="CY82" i="127" s="1"/>
  <c r="AM86" i="127"/>
  <c r="CY86" i="127" s="1"/>
  <c r="BZ122" i="127"/>
  <c r="AM109" i="127"/>
  <c r="CY109" i="127" s="1"/>
  <c r="BZ67" i="127"/>
  <c r="BZ133" i="127"/>
  <c r="BZ111" i="127"/>
  <c r="AM77" i="127"/>
  <c r="CY77" i="127" s="1"/>
  <c r="AP67" i="127"/>
  <c r="AM60" i="127"/>
  <c r="CY60" i="127" s="1"/>
  <c r="AM97" i="127"/>
  <c r="CY97" i="127" s="1"/>
  <c r="AM65" i="127"/>
  <c r="CY65" i="127" s="1"/>
  <c r="BZ144" i="127"/>
  <c r="AM66" i="127"/>
  <c r="CY66" i="127" s="1"/>
  <c r="AM64" i="127"/>
  <c r="CY64" i="127" s="1"/>
  <c r="AP111" i="127"/>
  <c r="AM104" i="127"/>
  <c r="CY104" i="127" s="1"/>
  <c r="AP144" i="127"/>
  <c r="AM137" i="127"/>
  <c r="CY137" i="127" s="1"/>
  <c r="AM138" i="127"/>
  <c r="CY138" i="127" s="1"/>
  <c r="AM94" i="127"/>
  <c r="CY94" i="127" s="1"/>
  <c r="AM62" i="127"/>
  <c r="CY62" i="127" s="1"/>
  <c r="AM95" i="127"/>
  <c r="CY95" i="127" s="1"/>
  <c r="AM131" i="127"/>
  <c r="CY131" i="127" s="1"/>
  <c r="AP78" i="127"/>
  <c r="AM71" i="127"/>
  <c r="CY71" i="127" s="1"/>
  <c r="DB115" i="127" l="1"/>
  <c r="B199" i="127" s="1"/>
  <c r="DB116" i="127"/>
  <c r="B159" i="127" s="1"/>
  <c r="DB117" i="127"/>
  <c r="AJ211" i="127" s="1"/>
  <c r="DB118" i="127"/>
  <c r="DB104" i="127"/>
  <c r="B179" i="127" s="1"/>
  <c r="DB105" i="127"/>
  <c r="B195" i="127" s="1"/>
  <c r="DB106" i="127"/>
  <c r="AJ207" i="127" s="1"/>
  <c r="DB107" i="127"/>
  <c r="AL233" i="127"/>
  <c r="BJ229" i="127"/>
  <c r="BS229" i="127"/>
  <c r="BH229" i="127" s="1"/>
  <c r="AA229" i="127" s="1"/>
  <c r="AL229" i="127" s="1"/>
  <c r="BT229" i="127"/>
  <c r="BS234" i="127"/>
  <c r="BH234" i="127" s="1"/>
  <c r="AA234" i="127" s="1"/>
  <c r="BS235" i="127" s="1"/>
  <c r="BH235" i="127" s="1"/>
  <c r="AA235" i="127" s="1"/>
  <c r="AL235" i="127" s="1"/>
  <c r="DB93" i="127"/>
  <c r="B183" i="127" s="1"/>
  <c r="DB94" i="127"/>
  <c r="B171" i="127" s="1"/>
  <c r="DB95" i="127"/>
  <c r="AJ203" i="127" s="1"/>
  <c r="DB96" i="127"/>
  <c r="DB83" i="127"/>
  <c r="DB82" i="127"/>
  <c r="B167" i="127" s="1"/>
  <c r="DB84" i="127"/>
  <c r="AJ159" i="127" s="1"/>
  <c r="M175" i="128" s="1"/>
  <c r="DB85" i="127"/>
  <c r="DB71" i="127"/>
  <c r="DB72" i="127"/>
  <c r="B163" i="127" s="1"/>
  <c r="DB73" i="127"/>
  <c r="AJ155" i="127" s="1"/>
  <c r="M172" i="128" s="1"/>
  <c r="DB75" i="127"/>
  <c r="BA234" i="127" s="1"/>
  <c r="DB74" i="127"/>
  <c r="DB63" i="127"/>
  <c r="DB61" i="127"/>
  <c r="DB60" i="127"/>
  <c r="DB62" i="127"/>
  <c r="AJ151" i="127" s="1"/>
  <c r="M169" i="128" s="1"/>
  <c r="BT246" i="127"/>
  <c r="AA246" i="127"/>
  <c r="AA247" i="127" s="1"/>
  <c r="AA248" i="127" s="1"/>
  <c r="AL248" i="127" s="1"/>
  <c r="BJ246" i="127"/>
  <c r="C159" i="128" l="1"/>
  <c r="C87" i="128"/>
  <c r="C163" i="128"/>
  <c r="C91" i="128"/>
  <c r="BE232" i="127"/>
  <c r="CZ157" i="127"/>
  <c r="DB156" i="127" s="1"/>
  <c r="B207" i="127" s="1"/>
  <c r="M208" i="128"/>
  <c r="C195" i="128"/>
  <c r="C123" i="128"/>
  <c r="C103" i="128"/>
  <c r="C175" i="128"/>
  <c r="B211" i="127"/>
  <c r="H169" i="127"/>
  <c r="F93" i="128" s="1"/>
  <c r="B191" i="127"/>
  <c r="B151" i="127"/>
  <c r="H193" i="127"/>
  <c r="C23" i="128" s="1"/>
  <c r="B203" i="127"/>
  <c r="CZ156" i="127"/>
  <c r="DB158" i="127" s="1"/>
  <c r="BE239" i="127" s="1"/>
  <c r="AT239" i="127" s="1"/>
  <c r="G239" i="127" s="1"/>
  <c r="L239" i="127" s="1"/>
  <c r="M205" i="128"/>
  <c r="C167" i="128"/>
  <c r="C95" i="128"/>
  <c r="CZ158" i="127"/>
  <c r="DB157" i="127" s="1"/>
  <c r="B155" i="127" s="1"/>
  <c r="H153" i="127" s="1"/>
  <c r="M211" i="128"/>
  <c r="C183" i="128"/>
  <c r="C111" i="128"/>
  <c r="BE234" i="127"/>
  <c r="AT234" i="127" s="1"/>
  <c r="G234" i="127" s="1"/>
  <c r="AV234" i="127"/>
  <c r="C83" i="128"/>
  <c r="C155" i="128"/>
  <c r="BE231" i="127"/>
  <c r="C127" i="128"/>
  <c r="C199" i="128"/>
  <c r="BE236" i="127"/>
  <c r="AT236" i="127" s="1"/>
  <c r="G236" i="127" s="1"/>
  <c r="L236" i="127" s="1"/>
  <c r="BJ231" i="127"/>
  <c r="BJ233" i="127"/>
  <c r="BT231" i="127"/>
  <c r="BJ232" i="127"/>
  <c r="AL234" i="127"/>
  <c r="BJ241" i="127"/>
  <c r="BJ240" i="127"/>
  <c r="BT241" i="127"/>
  <c r="BT240" i="127"/>
  <c r="AA241" i="127"/>
  <c r="AL241" i="127" s="1"/>
  <c r="BT236" i="127"/>
  <c r="BT239" i="127"/>
  <c r="BT237" i="127"/>
  <c r="BJ237" i="127"/>
  <c r="BJ236" i="127"/>
  <c r="BJ239" i="127"/>
  <c r="BT235" i="127"/>
  <c r="BT238" i="127"/>
  <c r="BJ238" i="127"/>
  <c r="BJ235" i="127"/>
  <c r="BJ230" i="127"/>
  <c r="BT233" i="127"/>
  <c r="BT230" i="127"/>
  <c r="BT232" i="127"/>
  <c r="BA228" i="127"/>
  <c r="BA231" i="127"/>
  <c r="AV231" i="127"/>
  <c r="BA232" i="127"/>
  <c r="AV232" i="127"/>
  <c r="M64" i="128"/>
  <c r="CZ152" i="127"/>
  <c r="DB152" i="127" s="1"/>
  <c r="BA227" i="127"/>
  <c r="BA233" i="127"/>
  <c r="M67" i="128"/>
  <c r="CZ153" i="127"/>
  <c r="CZ151" i="127"/>
  <c r="M61" i="128"/>
  <c r="BE241" i="127"/>
  <c r="AT241" i="127" s="1"/>
  <c r="G241" i="127" s="1"/>
  <c r="BE242" i="127" s="1"/>
  <c r="AT242" i="127" s="1"/>
  <c r="G242" i="127" s="1"/>
  <c r="AV247" i="127"/>
  <c r="BF247" i="127"/>
  <c r="BT227" i="127"/>
  <c r="BE247" i="127"/>
  <c r="AT247" i="127" s="1"/>
  <c r="G247" i="127" s="1"/>
  <c r="BJ227" i="127"/>
  <c r="BT247" i="127"/>
  <c r="AL246" i="127"/>
  <c r="BJ247" i="127"/>
  <c r="BJ248" i="127"/>
  <c r="BT248" i="127"/>
  <c r="AL247" i="127"/>
  <c r="BJ249" i="127"/>
  <c r="BT249" i="127"/>
  <c r="AA249" i="127"/>
  <c r="AL249" i="127" s="1"/>
  <c r="AT232" i="127" l="1"/>
  <c r="G232" i="127" s="1"/>
  <c r="L232" i="127" s="1"/>
  <c r="C47" i="128"/>
  <c r="AT231" i="127"/>
  <c r="G231" i="127" s="1"/>
  <c r="L231" i="127" s="1"/>
  <c r="C59" i="128"/>
  <c r="DB151" i="127"/>
  <c r="B175" i="127" s="1"/>
  <c r="F165" i="128"/>
  <c r="C11" i="128"/>
  <c r="BB235" i="127"/>
  <c r="BC235" i="127"/>
  <c r="L234" i="127"/>
  <c r="C39" i="128"/>
  <c r="F149" i="128"/>
  <c r="C3" i="128"/>
  <c r="F77" i="128"/>
  <c r="DB153" i="127"/>
  <c r="BE238" i="127" s="1"/>
  <c r="AT238" i="127" s="1"/>
  <c r="G238" i="127" s="1"/>
  <c r="C131" i="128"/>
  <c r="C203" i="128"/>
  <c r="BE237" i="127"/>
  <c r="AT237" i="127" s="1"/>
  <c r="G237" i="127" s="1"/>
  <c r="L237" i="127" s="1"/>
  <c r="C135" i="128"/>
  <c r="C207" i="128"/>
  <c r="C75" i="128"/>
  <c r="C147" i="128"/>
  <c r="F121" i="128"/>
  <c r="F193" i="128"/>
  <c r="C119" i="128"/>
  <c r="C191" i="128"/>
  <c r="BE235" i="127"/>
  <c r="AT235" i="127" s="1"/>
  <c r="G235" i="127" s="1"/>
  <c r="L235" i="127" s="1"/>
  <c r="AV235" i="127"/>
  <c r="C139" i="128"/>
  <c r="C211" i="128"/>
  <c r="BE230" i="127"/>
  <c r="C79" i="128"/>
  <c r="C151" i="128"/>
  <c r="H209" i="127"/>
  <c r="AV242" i="127"/>
  <c r="L242" i="127"/>
  <c r="BC243" i="127"/>
  <c r="BB243" i="127"/>
  <c r="BD243" i="127"/>
  <c r="AV243" i="127"/>
  <c r="H201" i="127"/>
  <c r="L241" i="127"/>
  <c r="AV248" i="127"/>
  <c r="H161" i="127"/>
  <c r="N157" i="127" s="1"/>
  <c r="G224" i="127" s="1"/>
  <c r="L224" i="127" s="1"/>
  <c r="B187" i="127"/>
  <c r="BF248" i="127"/>
  <c r="BE243" i="127"/>
  <c r="AT243" i="127" s="1"/>
  <c r="G243" i="127" s="1"/>
  <c r="L243" i="127" s="1"/>
  <c r="AV238" i="127"/>
  <c r="L247" i="127"/>
  <c r="BE248" i="127"/>
  <c r="AT248" i="127" s="1"/>
  <c r="G248" i="127" s="1"/>
  <c r="L248" i="127" s="1"/>
  <c r="BC248" i="127"/>
  <c r="BB248" i="127"/>
  <c r="BD248" i="127"/>
  <c r="BA230" i="127"/>
  <c r="AV230" i="127"/>
  <c r="BA229" i="127"/>
  <c r="BA226" i="127"/>
  <c r="AV237" i="127" l="1"/>
  <c r="AV236" i="127"/>
  <c r="AT230" i="127"/>
  <c r="G230" i="127" s="1"/>
  <c r="L230" i="127" s="1"/>
  <c r="F137" i="128"/>
  <c r="C31" i="128"/>
  <c r="C67" i="128"/>
  <c r="F209" i="128"/>
  <c r="H177" i="127"/>
  <c r="N173" i="127" s="1"/>
  <c r="AF165" i="127" s="1"/>
  <c r="I9" i="128" s="1"/>
  <c r="C99" i="128"/>
  <c r="C171" i="128"/>
  <c r="BE233" i="127"/>
  <c r="AT233" i="127" s="1"/>
  <c r="G233" i="127" s="1"/>
  <c r="L233" i="127" s="1"/>
  <c r="AV233" i="127"/>
  <c r="BB237" i="127"/>
  <c r="BB236" i="127"/>
  <c r="BC236" i="127"/>
  <c r="H185" i="127"/>
  <c r="C55" i="128" s="1"/>
  <c r="C115" i="128"/>
  <c r="C187" i="128"/>
  <c r="BC237" i="127"/>
  <c r="F129" i="128"/>
  <c r="F201" i="128"/>
  <c r="C27" i="128"/>
  <c r="BE226" i="127"/>
  <c r="AT226" i="127" s="1"/>
  <c r="G226" i="127" s="1"/>
  <c r="L226" i="127" s="1"/>
  <c r="F157" i="128"/>
  <c r="F85" i="128"/>
  <c r="C7" i="128"/>
  <c r="I81" i="128"/>
  <c r="I153" i="128"/>
  <c r="F5" i="128"/>
  <c r="BE229" i="127"/>
  <c r="AT229" i="127" s="1"/>
  <c r="G229" i="127" s="1"/>
  <c r="L229" i="127" s="1"/>
  <c r="N205" i="127"/>
  <c r="AV229" i="127"/>
  <c r="C63" i="128"/>
  <c r="AV226" i="127"/>
  <c r="C43" i="128"/>
  <c r="BB249" i="127"/>
  <c r="AV249" i="127"/>
  <c r="N189" i="127"/>
  <c r="AV244" i="127"/>
  <c r="BB244" i="127"/>
  <c r="BE249" i="127"/>
  <c r="AT249" i="127" s="1"/>
  <c r="G249" i="127" s="1"/>
  <c r="BD249" i="127"/>
  <c r="BE244" i="127"/>
  <c r="AT244" i="127" s="1"/>
  <c r="G244" i="127" s="1"/>
  <c r="L244" i="127" s="1"/>
  <c r="BC249" i="127"/>
  <c r="BE227" i="127"/>
  <c r="AT227" i="127" s="1"/>
  <c r="G227" i="127" s="1"/>
  <c r="L227" i="127" s="1"/>
  <c r="AV227" i="127"/>
  <c r="BD244" i="127"/>
  <c r="L238" i="127"/>
  <c r="BB240" i="127"/>
  <c r="AV240" i="127"/>
  <c r="BD241" i="127"/>
  <c r="BC241" i="127"/>
  <c r="BD240" i="127"/>
  <c r="BC240" i="127"/>
  <c r="BB241" i="127"/>
  <c r="BC239" i="127"/>
  <c r="AV241" i="127"/>
  <c r="BB239" i="127"/>
  <c r="AV239" i="127"/>
  <c r="BD239" i="127"/>
  <c r="BF249" i="127"/>
  <c r="BC244" i="127"/>
  <c r="F41" i="128"/>
  <c r="F173" i="128" l="1"/>
  <c r="C19" i="128"/>
  <c r="F113" i="128"/>
  <c r="F185" i="128"/>
  <c r="C15" i="128"/>
  <c r="F13" i="128"/>
  <c r="F49" i="128"/>
  <c r="I97" i="128"/>
  <c r="I169" i="128"/>
  <c r="C51" i="128"/>
  <c r="F101" i="128"/>
  <c r="BE228" i="127"/>
  <c r="AT228" i="127" s="1"/>
  <c r="G228" i="127" s="1"/>
  <c r="L228" i="127" s="1"/>
  <c r="AV228" i="127"/>
  <c r="I117" i="128"/>
  <c r="F21" i="128"/>
  <c r="I189" i="128"/>
  <c r="I133" i="128"/>
  <c r="I205" i="128"/>
  <c r="F29" i="128"/>
  <c r="F65" i="128"/>
  <c r="G225" i="127"/>
  <c r="L225" i="127" s="1"/>
  <c r="BE245" i="127"/>
  <c r="AT245" i="127" s="1"/>
  <c r="G245" i="127" s="1"/>
  <c r="L245" i="127" s="1"/>
  <c r="BD245" i="127"/>
  <c r="L249" i="127"/>
  <c r="BS222" i="127"/>
  <c r="BH222" i="127" s="1"/>
  <c r="AA222" i="127" s="1"/>
  <c r="AL222" i="127" s="1"/>
  <c r="BB245" i="127"/>
  <c r="F57" i="128"/>
  <c r="AF197" i="127"/>
  <c r="BJ222" i="127"/>
  <c r="BC245" i="127"/>
  <c r="BT222" i="127"/>
  <c r="AV245" i="127"/>
  <c r="I45" i="128"/>
  <c r="G223" i="127" l="1"/>
  <c r="L223" i="127" s="1"/>
  <c r="I25" i="128"/>
  <c r="BS223" i="127"/>
  <c r="BH223" i="127" s="1"/>
  <c r="AA223" i="127" s="1"/>
  <c r="AL223" i="127" s="1"/>
  <c r="BT223" i="127"/>
  <c r="BJ223" i="127"/>
  <c r="AL181" i="127"/>
  <c r="L17" i="128" s="1"/>
  <c r="G222" i="127"/>
  <c r="L222" i="127" s="1"/>
  <c r="I61" i="128"/>
  <c r="BJ224" i="127" l="1"/>
  <c r="BT225" i="127"/>
  <c r="L53" i="128"/>
  <c r="BJ225" i="127"/>
  <c r="BT224" i="1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D71811D8-E58E-4766-8B8C-27716506B6CA}">
      <text>
        <r>
          <rPr>
            <b/>
            <u/>
            <sz val="16"/>
            <color indexed="10"/>
            <rFont val="Tahoma"/>
            <family val="2"/>
            <charset val="238"/>
          </rPr>
          <t xml:space="preserve">Začínáme. </t>
        </r>
        <r>
          <rPr>
            <b/>
            <sz val="16"/>
            <color indexed="81"/>
            <rFont val="Tahoma"/>
            <family val="2"/>
            <charset val="238"/>
          </rPr>
          <t xml:space="preserve">
Pokud budete chtít uchovat kopii turnaje, tak pro nový turnaj vytvořte kopii VZORU.
Vyberte </t>
        </r>
        <r>
          <rPr>
            <i/>
            <sz val="16"/>
            <color indexed="81"/>
            <rFont val="Tahoma"/>
            <family val="2"/>
            <charset val="238"/>
          </rPr>
          <t>"UKÁZAT NÁVOD"</t>
        </r>
        <r>
          <rPr>
            <b/>
            <sz val="16"/>
            <color indexed="81"/>
            <rFont val="Tahoma"/>
            <family val="2"/>
            <charset val="238"/>
          </rPr>
          <t xml:space="preserve">, pokud chcete zvýraznit buňky s nápovědou.
Vyberte </t>
        </r>
        <r>
          <rPr>
            <i/>
            <sz val="16"/>
            <color indexed="81"/>
            <rFont val="Tahoma"/>
            <family val="2"/>
            <charset val="238"/>
          </rPr>
          <t>"NÁVOD (klikni)"</t>
        </r>
        <r>
          <rPr>
            <b/>
            <sz val="16"/>
            <color indexed="81"/>
            <rFont val="Tahoma"/>
            <family val="2"/>
            <charset val="238"/>
          </rPr>
          <t xml:space="preserve">, pokud chcete skrýt buňky s nápovědou.
Návody u jednotlivých buněk lze kdykoliv zobrazit i pouhým najetím nad příslušné pole (nad tyto červené buňky). 
Není nutno mít vybráno volbu </t>
        </r>
        <r>
          <rPr>
            <i/>
            <sz val="16"/>
            <color indexed="81"/>
            <rFont val="Tahoma"/>
            <family val="2"/>
            <charset val="238"/>
          </rPr>
          <t>"UKÁZAT NÁVOD"</t>
        </r>
        <r>
          <rPr>
            <b/>
            <sz val="16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 shapeId="0" xr:uid="{9EC62EFD-5417-4BBA-B0CD-F6480B68E8F3}">
      <text>
        <r>
          <rPr>
            <b/>
            <u/>
            <sz val="16"/>
            <color indexed="10"/>
            <rFont val="Tahoma"/>
            <family val="2"/>
            <charset val="238"/>
          </rPr>
          <t>Seznam přihlášených hráčů.</t>
        </r>
        <r>
          <rPr>
            <b/>
            <sz val="16"/>
            <color indexed="81"/>
            <rFont val="Tahoma"/>
            <family val="2"/>
            <charset val="238"/>
          </rPr>
          <t xml:space="preserve">
Zadejte jména přihlášených hráčů.
Zadejte jejich registrační čísla (nepovinně), pokud mají.
K nasazeným hráčům doplňte jejich pořadí od 1 do x (povinně).
</t>
        </r>
        <r>
          <rPr>
            <i/>
            <sz val="16"/>
            <color indexed="81"/>
            <rFont val="Tahoma"/>
            <family val="2"/>
            <charset val="238"/>
          </rPr>
          <t>x = počet nasazených hráčů, viz krok č. 7.</t>
        </r>
        <r>
          <rPr>
            <b/>
            <sz val="16"/>
            <color indexed="81"/>
            <rFont val="Tahoma"/>
            <family val="2"/>
            <charset val="238"/>
          </rPr>
          <t xml:space="preserve">
Dolosujte pořadová čísla i k ostatním hráčům, viz krok č. 8.
Hodnoty čísel ve sloupci Los </t>
        </r>
        <r>
          <rPr>
            <b/>
            <u/>
            <sz val="16"/>
            <color indexed="81"/>
            <rFont val="Tahoma"/>
            <family val="2"/>
            <charset val="238"/>
          </rPr>
          <t>nesmí být vyšší</t>
        </r>
        <r>
          <rPr>
            <b/>
            <sz val="16"/>
            <color indexed="81"/>
            <rFont val="Tahoma"/>
            <family val="2"/>
            <charset val="238"/>
          </rPr>
          <t xml:space="preserve"> než je počet přihlášených hráčů.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 xr:uid="{0288F172-72C5-4470-9412-5AC02BD69C13}">
      <text>
        <r>
          <rPr>
            <b/>
            <u/>
            <sz val="16"/>
            <color indexed="10"/>
            <rFont val="Tahoma"/>
            <family val="2"/>
            <charset val="238"/>
          </rPr>
          <t>Zadejte datum turnaje.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 xr:uid="{8C55836A-7B2C-4C05-A92C-772B196A524B}">
      <text>
        <r>
          <rPr>
            <b/>
            <u/>
            <sz val="16"/>
            <color indexed="10"/>
            <rFont val="Tahoma"/>
            <family val="2"/>
            <charset val="238"/>
          </rPr>
          <t>Zadejte místo turnaje.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 xr:uid="{3D60605B-865F-4D6E-8B45-4898C44EA405}">
      <text>
        <r>
          <rPr>
            <b/>
            <u/>
            <sz val="16"/>
            <color indexed="10"/>
            <rFont val="Tahoma"/>
            <family val="2"/>
            <charset val="238"/>
          </rPr>
          <t>Zadejte název turnaje.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 xr:uid="{3A0938DB-03F1-417B-B92D-618B04AC2AEE}">
      <text>
        <r>
          <rPr>
            <b/>
            <u/>
            <sz val="16"/>
            <color indexed="10"/>
            <rFont val="Tahoma"/>
            <family val="2"/>
            <charset val="238"/>
          </rPr>
          <t xml:space="preserve">Vyberte z rozbalovacího menu typ turnaje. </t>
        </r>
        <r>
          <rPr>
            <b/>
            <sz val="16"/>
            <color indexed="81"/>
            <rFont val="Tahoma"/>
            <family val="2"/>
            <charset val="238"/>
          </rPr>
          <t xml:space="preserve">
Podle toho, jaký zvolíte typ turnaje, bude určena kategorie turnaje a podle ní bude na výsledkové listině určeno, kolik jste získali bodů do žebříčků.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 xr:uid="{D08720D3-88B7-453F-AB3B-2A7862D4D88A}">
      <text>
        <r>
          <rPr>
            <b/>
            <u/>
            <sz val="16"/>
            <color indexed="10"/>
            <rFont val="Tahoma"/>
            <family val="2"/>
            <charset val="238"/>
          </rPr>
          <t xml:space="preserve">Vyberte z rozbalovacího menu </t>
        </r>
        <r>
          <rPr>
            <i/>
            <u/>
            <sz val="16"/>
            <color indexed="10"/>
            <rFont val="Tahoma"/>
            <family val="2"/>
            <charset val="238"/>
          </rPr>
          <t>"ANO"</t>
        </r>
        <r>
          <rPr>
            <b/>
            <u/>
            <sz val="16"/>
            <color indexed="10"/>
            <rFont val="Tahoma"/>
            <family val="2"/>
            <charset val="238"/>
          </rPr>
          <t xml:space="preserve"> a postupně přidejte losovaná čísla k nenasazeným hráčům. </t>
        </r>
        <r>
          <rPr>
            <b/>
            <sz val="16"/>
            <color indexed="81"/>
            <rFont val="Tahoma"/>
            <family val="2"/>
            <charset val="238"/>
          </rPr>
          <t xml:space="preserve">
Nelze losovat náhodná čísla, pokud nejsou ukončeny kroky č. 6 a 7. Tzn. musí být nějaká jména na startovní listině, musí být určeno, kolik je nasazeno hráčů (0, 2, 4, 8 nebo 16) a ve sloupci Los musí být napsána pořadová čísla u těchto nasazených hráčů.
Náhodná čísla jsou generována v rozmezí x - y.
</t>
        </r>
        <r>
          <rPr>
            <i/>
            <sz val="16"/>
            <color indexed="81"/>
            <rFont val="Tahoma"/>
            <family val="2"/>
            <charset val="238"/>
          </rPr>
          <t>x = počet nasazených hráčů +1.
y = počet přihlášených hráčů.</t>
        </r>
        <r>
          <rPr>
            <b/>
            <sz val="16"/>
            <color indexed="81"/>
            <rFont val="Tahoma"/>
            <family val="2"/>
            <charset val="238"/>
          </rPr>
          <t xml:space="preserve">
Losování lze použít i pro určení sudých a lichých počtů hráčů ve skupinách.
</t>
        </r>
        <r>
          <rPr>
            <i/>
            <sz val="16"/>
            <color indexed="81"/>
            <rFont val="Tahoma"/>
            <family val="2"/>
            <charset val="238"/>
          </rPr>
          <t>Jakékoliv sudé číslo = skupina bude mít sudý počet hráčů.
Jakékoliv liché číslo = skupina bude mít lichý počet hráčů.
Pokud je po vylosování předposledního čísla rozhodnuto, k poslední volbě se nepřihlíží.</t>
        </r>
      </text>
    </comment>
    <comment ref="G36" authorId="0" shapeId="0" xr:uid="{83F687A0-068B-4A2F-9F87-65A75B329B62}">
      <text>
        <r>
          <rPr>
            <b/>
            <u/>
            <sz val="16"/>
            <color indexed="10"/>
            <rFont val="Tahoma"/>
            <family val="2"/>
            <charset val="238"/>
          </rPr>
          <t>Zadejte, kolik hráčů bude nasazeno.</t>
        </r>
        <r>
          <rPr>
            <b/>
            <sz val="16"/>
            <color indexed="81"/>
            <rFont val="Tahoma"/>
            <family val="2"/>
            <charset val="238"/>
          </rPr>
          <t xml:space="preserve">
Nasazuje se čtvrtina hráčů z nejbližšího plného herního plánu. 
V návaznosti na počet nasazených hráčů dojde k jejich roztřídění do skupin.
Varianta doporučená pravidly, resp. nejlogičtější varianta při volbách 3 nebo 6 skupin, bude zohledněna. 
Ostatní varianty budou vyhodnoceny stejně, jako by nebyl nasazen nikdo. </t>
        </r>
      </text>
    </comment>
    <comment ref="G38" authorId="0" shapeId="0" xr:uid="{D8576405-BC89-4CA0-BF09-D5D178749E45}">
      <text>
        <r>
          <rPr>
            <b/>
            <u/>
            <sz val="16"/>
            <color indexed="10"/>
            <rFont val="Tahoma"/>
            <family val="2"/>
            <charset val="238"/>
          </rPr>
          <t xml:space="preserve">Zadejte, kolik bude skupin.
</t>
        </r>
        <r>
          <rPr>
            <b/>
            <sz val="16"/>
            <color indexed="81"/>
            <rFont val="Tahoma"/>
            <family val="2"/>
            <charset val="238"/>
          </rPr>
          <t>Pokud chcete hrát systém 6 skupin, tak zvažte, jestli máte dostatečný počet terčů. 
Pro ostatní varianty postačí čtyři terče, resp. i méně při menším počtu přihlášených hráčů.. 
Při variantě 8 skupin, čtyřech terčích a velkém počtu přihlášených hráčů zvažte, jestli máte dostatek času.</t>
        </r>
      </text>
    </comment>
    <comment ref="G40" authorId="0" shapeId="0" xr:uid="{24C93937-9DAE-4A16-934F-D1356F6A4919}">
      <text>
        <r>
          <rPr>
            <b/>
            <u/>
            <sz val="16"/>
            <color indexed="10"/>
            <rFont val="Tahoma"/>
            <family val="2"/>
            <charset val="238"/>
          </rPr>
          <t>Zadejte, kolik hráčů bude v jednotlivých skupinách.</t>
        </r>
        <r>
          <rPr>
            <b/>
            <sz val="16"/>
            <color indexed="81"/>
            <rFont val="Tahoma"/>
            <family val="2"/>
            <charset val="238"/>
          </rPr>
          <t xml:space="preserve">
Nezapomeňte si předem vylosovat, jestli ve skupinách bude sudý nebo lichý počet hráčů, viz krok č. 8.
Při zvolení nelogických kombinací může dojít k nesprávným nasazením do skupin. 
Např. při volbě většího počtu nasazených hráčů než by mělo být dle pravidel (třeba 8 nasazených při méně než 17 hráčích) nebo při větším jak jednomístném rozdílu počtu hráčů ve skupinách (Skupina A = 4 hráči, Skupina B= 6 hráčů).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 shapeId="0" xr:uid="{66E40CF2-328C-450A-B31A-9660B4872E99}">
      <text>
        <r>
          <rPr>
            <b/>
            <u/>
            <sz val="16"/>
            <color indexed="10"/>
            <rFont val="Tahoma"/>
            <family val="2"/>
            <charset val="238"/>
          </rPr>
          <t xml:space="preserve">Vyberte z rozbalovacího menu </t>
        </r>
        <r>
          <rPr>
            <i/>
            <u/>
            <sz val="16"/>
            <color indexed="10"/>
            <rFont val="Tahoma"/>
            <family val="2"/>
            <charset val="238"/>
          </rPr>
          <t>"ANO"</t>
        </r>
        <r>
          <rPr>
            <b/>
            <u/>
            <sz val="16"/>
            <color indexed="10"/>
            <rFont val="Tahoma"/>
            <family val="2"/>
            <charset val="238"/>
          </rPr>
          <t xml:space="preserve">. </t>
        </r>
        <r>
          <rPr>
            <b/>
            <sz val="16"/>
            <color indexed="81"/>
            <rFont val="Tahoma"/>
            <family val="2"/>
            <charset val="238"/>
          </rPr>
          <t xml:space="preserve">
Hráči budou automaticky roztříděni do skupin.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1" authorId="0" shapeId="0" xr:uid="{C030825A-D9B4-4554-8C00-1D46724DCB70}">
      <text>
        <r>
          <rPr>
            <b/>
            <u/>
            <sz val="16"/>
            <color indexed="10"/>
            <rFont val="Tahoma"/>
            <family val="2"/>
            <charset val="238"/>
          </rPr>
          <t xml:space="preserve">Vyberte z rozbalovacího menu </t>
        </r>
        <r>
          <rPr>
            <i/>
            <u/>
            <sz val="16"/>
            <color indexed="10"/>
            <rFont val="Tahoma"/>
            <family val="2"/>
            <charset val="238"/>
          </rPr>
          <t>"ANO"</t>
        </r>
        <r>
          <rPr>
            <b/>
            <u/>
            <sz val="16"/>
            <color indexed="10"/>
            <rFont val="Tahoma"/>
            <family val="2"/>
            <charset val="238"/>
          </rPr>
          <t xml:space="preserve">. </t>
        </r>
        <r>
          <rPr>
            <b/>
            <sz val="16"/>
            <color indexed="81"/>
            <rFont val="Tahoma"/>
            <family val="2"/>
            <charset val="238"/>
          </rPr>
          <t xml:space="preserve">
Zobrazí se nabídka s typy pavouků. 
Po zvolení typu pavouka v kroku č. 14 budou hráči z nepostupujích pozic ve skupinách automaticky zapsáni na výsledkovou listinu.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3" authorId="0" shapeId="0" xr:uid="{C9671316-B134-4434-9AEB-8C53879B8B2D}">
      <text>
        <r>
          <rPr>
            <b/>
            <u/>
            <sz val="16"/>
            <color indexed="10"/>
            <rFont val="Tahoma"/>
            <family val="2"/>
            <charset val="238"/>
          </rPr>
          <t>Vyberte z rozbalovacího menu požadovaný typ pavouka.</t>
        </r>
        <r>
          <rPr>
            <b/>
            <sz val="16"/>
            <color indexed="81"/>
            <rFont val="Tahoma"/>
            <family val="2"/>
            <charset val="238"/>
          </rPr>
          <t xml:space="preserve">
Kromě standardních systémů je možné zvolit i systémy pro 3, resp. 6 skupin. 
U těchto systémů lze výsledky korektně zadat do Stedaru, pouze pokud není více než 15 hráčů při 3 skupinách, resp. 30 hráčů při 6 skupinách. Při větším počtu přihlášených nedosáhnou hráči ze stejných pozic ve skupinách na stejné body!
Pro 3 skupiny na Stedaru zvolte systém bodování pro </t>
        </r>
        <r>
          <rPr>
            <i/>
            <sz val="16"/>
            <color indexed="81"/>
            <rFont val="Tahoma"/>
            <family val="2"/>
            <charset val="238"/>
          </rPr>
          <t>"4 skupiny - postup 2"</t>
        </r>
        <r>
          <rPr>
            <b/>
            <sz val="16"/>
            <color indexed="81"/>
            <rFont val="Tahoma"/>
            <family val="2"/>
            <charset val="238"/>
          </rPr>
          <t xml:space="preserve">. Pro 6 skupin zvolte systém pro </t>
        </r>
        <r>
          <rPr>
            <i/>
            <sz val="16"/>
            <color indexed="81"/>
            <rFont val="Tahoma"/>
            <family val="2"/>
            <charset val="238"/>
          </rPr>
          <t>"8 skupin"</t>
        </r>
        <r>
          <rPr>
            <b/>
            <sz val="16"/>
            <color indexed="81"/>
            <rFont val="Tahoma"/>
            <family val="2"/>
            <charset val="238"/>
          </rPr>
          <t xml:space="preserve">. (Stedar je systém pro zadávání výsledků v ČŠO).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 xr:uid="{4BB218FF-FF73-40D8-844B-AF24489F4F3D}">
      <text>
        <r>
          <rPr>
            <b/>
            <u/>
            <sz val="16"/>
            <color indexed="10"/>
            <rFont val="Tahoma"/>
            <family val="2"/>
            <charset val="238"/>
          </rPr>
          <t>Turnaj může začít.</t>
        </r>
        <r>
          <rPr>
            <b/>
            <sz val="16"/>
            <color indexed="81"/>
            <rFont val="Tahoma"/>
            <family val="2"/>
            <charset val="238"/>
          </rPr>
          <t xml:space="preserve"> 
Do tabulek skupin zapisujte výsledky jednotlivých zápasů a pokud chcete, tak poznámky (např. 180, vysoká zavření, 4. a 5. kola, průměry apod.). Zbytek bude vyhodnocen automaticky.
Při shodě bodů v tabulce a při následné shodě v minitabulce se u hráčů, kteří mají hrát rozhodující leg 701DO, objeví otazník. Přepište jej číslem pořadí, na kterém hráči v tomto rozhodujícím legu skončili. Přepsáním otazníku se v buňce zruší vzorec a příště už se tam tento otazník nezobrazí! Mějte proto pro každý turnaj novou kopii VZORU. Eventuálně lze vzorec pro zobrazení otazníku obnovit. Okopírujte jej z jiného řádku, vložte jej do prázdné buňky a přepište hodnoty ve vzorci tak, aby byly logicky vyšší nebo nižší než ty v okolních řádcích.
Do sloupce Poznámky lze text zapisovat dvouřádkově (přes Alt+Enter).
Pořadí naplánovaných zápasů nevychází ze skutečnosti, ale z počtu odehraných zápasů ve skupině. Pokud některý zápas odehrajete dříve než je určeno v rozpisu, nebude pomocná tabulka ukazovat přesně, který zápas se má hrát jako další v pořadí. Na automatické vyhodnocení výsledků to nebude mít žádný vliv.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5" authorId="0" shapeId="0" xr:uid="{3A137232-0305-41CF-B30C-9AE937B0FD02}">
      <text>
        <r>
          <rPr>
            <b/>
            <u/>
            <sz val="16"/>
            <color indexed="10"/>
            <rFont val="Tahoma"/>
            <family val="2"/>
            <charset val="238"/>
          </rPr>
          <t xml:space="preserve">Vyberte z rozbalovacího menu </t>
        </r>
        <r>
          <rPr>
            <i/>
            <u/>
            <sz val="16"/>
            <color indexed="10"/>
            <rFont val="Tahoma"/>
            <family val="2"/>
            <charset val="238"/>
          </rPr>
          <t>"ANO",</t>
        </r>
        <r>
          <rPr>
            <b/>
            <u/>
            <sz val="16"/>
            <color indexed="10"/>
            <rFont val="Tahoma"/>
            <family val="2"/>
            <charset val="238"/>
          </rPr>
          <t xml:space="preserve"> pokud typ pavouka odpovídá počtu odehraných skupin. </t>
        </r>
        <r>
          <rPr>
            <b/>
            <sz val="16"/>
            <color indexed="81"/>
            <rFont val="Tahoma"/>
            <family val="2"/>
            <charset val="238"/>
          </rPr>
          <t xml:space="preserve">
Hráči budou automaticky roztříděni do pavouka.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8" authorId="0" shapeId="0" xr:uid="{241D57B4-54E3-4049-8787-5A8864CE810D}">
      <text>
        <r>
          <rPr>
            <b/>
            <u/>
            <sz val="16"/>
            <color indexed="10"/>
            <rFont val="Tahoma"/>
            <family val="2"/>
            <charset val="238"/>
          </rPr>
          <t>Zadejte výsledky zápasů, zbytek se doplní automaticky.</t>
        </r>
        <r>
          <rPr>
            <b/>
            <sz val="16"/>
            <color indexed="81"/>
            <rFont val="Tahoma"/>
            <family val="2"/>
            <charset val="238"/>
          </rPr>
          <t xml:space="preserve">
Do buněk pod jmény lze zapisovat poznámky (např. 180, vysoká zavření, 4. a 5. kola, průměry apod.)
Pokud se hraje baráž 701 DO, zadejte výsledky pomocí příslušného rozbalovacího menu.</t>
        </r>
      </text>
    </comment>
    <comment ref="E221" authorId="0" shapeId="0" xr:uid="{5DB6A03F-850B-4F0D-AE04-9AE1D356CC6A}">
      <text>
        <r>
          <rPr>
            <b/>
            <u/>
            <sz val="16"/>
            <color indexed="10"/>
            <rFont val="Tahoma"/>
            <family val="2"/>
            <charset val="238"/>
          </rPr>
          <t>Výsledková listina bude vyplněna automaticky.</t>
        </r>
        <r>
          <rPr>
            <b/>
            <sz val="16"/>
            <color indexed="81"/>
            <rFont val="Tahoma"/>
            <family val="2"/>
            <charset val="238"/>
          </rPr>
          <t xml:space="preserve">
Po odehrání turnaje budou hráči seřazeni na výsledkové listině. 
Ve sloupci "Body" jsou zobrazeny body dle pravidel ČŠO. Pro získání bodů do žebříčků ČŠO je požadována účast alespoň 8 hráčů. 
Hodnota bodů je závislá na zvolené kategorii turnaje. 
Místní turnaje = kat. IV, regionální turnaje = kat. III, viz krok č. 5.
Do sloupce </t>
        </r>
        <r>
          <rPr>
            <i/>
            <sz val="16"/>
            <color indexed="81"/>
            <rFont val="Tahoma"/>
            <family val="2"/>
            <charset val="238"/>
          </rPr>
          <t>"Jiné"</t>
        </r>
        <r>
          <rPr>
            <b/>
            <sz val="16"/>
            <color indexed="81"/>
            <rFont val="Tahoma"/>
            <family val="2"/>
            <charset val="238"/>
          </rPr>
          <t xml:space="preserve"> si můžete dopsat body podle vašich vlastních kriterií. Sloupec s "jinými" body slouží jako pomůcka pro následné přepsání do vašich místních žebříčků. Jinam než do tohoto sloupce psát nelze, zbytek je vyplněn automaticky.
V některých případech - pokud je méně přihlášených hráčů než je pozic ve zvoleném pavouku, může dojít k posunu jmen na výsledkové listině (některé pozice zůstanou neobsazeny).
</t>
        </r>
      </text>
    </comment>
  </commentList>
</comments>
</file>

<file path=xl/sharedStrings.xml><?xml version="1.0" encoding="utf-8"?>
<sst xmlns="http://schemas.openxmlformats.org/spreadsheetml/2006/main" count="986" uniqueCount="297">
  <si>
    <t>1 →</t>
  </si>
  <si>
    <t>NÁVOD (klikni)</t>
  </si>
  <si>
    <t>Seznam přihlášených hráčů</t>
  </si>
  <si>
    <t>Nasazení do skupin</t>
  </si>
  <si>
    <t>4</t>
  </si>
  <si>
    <t>5</t>
  </si>
  <si>
    <t>6</t>
  </si>
  <si>
    <t>7</t>
  </si>
  <si>
    <t>Dnešní datum</t>
  </si>
  <si>
    <t>#</t>
  </si>
  <si>
    <t>Jméno hráče</t>
  </si>
  <si>
    <t>Reg. č.</t>
  </si>
  <si>
    <t>Los</t>
  </si>
  <si>
    <t>Přepis soupisky</t>
  </si>
  <si>
    <t>Jméno</t>
  </si>
  <si>
    <t>Pořadí podle losu</t>
  </si>
  <si>
    <t>1 - 3 (2),</t>
  </si>
  <si>
    <t>1 - 4 (3),</t>
  </si>
  <si>
    <t>1 - 5 (3),</t>
  </si>
  <si>
    <t>1 - 6 (3),</t>
  </si>
  <si>
    <t>1 - 6 (5),</t>
  </si>
  <si>
    <t>1</t>
  </si>
  <si>
    <t>29</t>
  </si>
  <si>
    <t>UKÁZAT NÁVOD</t>
  </si>
  <si>
    <t>2 - 3 (1),</t>
  </si>
  <si>
    <t>2 - 3 (4),</t>
  </si>
  <si>
    <t>2 - 4 (1),</t>
  </si>
  <si>
    <t>2 - 5 (4),</t>
  </si>
  <si>
    <t>2 - 4 (7),</t>
  </si>
  <si>
    <t>2</t>
  </si>
  <si>
    <t>30</t>
  </si>
  <si>
    <t>1 - 2 (3)</t>
  </si>
  <si>
    <t>3 - 5 (2),</t>
  </si>
  <si>
    <t>3 - 4 (2),</t>
  </si>
  <si>
    <t>2 - 7 (4),</t>
  </si>
  <si>
    <t>Datum turnaje</t>
  </si>
  <si>
    <t>3</t>
  </si>
  <si>
    <t>31</t>
  </si>
  <si>
    <t>2 - 4 (3),</t>
  </si>
  <si>
    <t>1 - 4 (5),</t>
  </si>
  <si>
    <t>1 - 5 (6),</t>
  </si>
  <si>
    <t>3 - 5 (6),</t>
  </si>
  <si>
    <t>2 →</t>
  </si>
  <si>
    <t>32</t>
  </si>
  <si>
    <t>1 - 2 (4),</t>
  </si>
  <si>
    <t>33</t>
  </si>
  <si>
    <t>3 - 4 (1)</t>
  </si>
  <si>
    <t>4 - 5 (2),</t>
  </si>
  <si>
    <t>4 - 6 (7),</t>
  </si>
  <si>
    <t>Místo</t>
  </si>
  <si>
    <t>34</t>
  </si>
  <si>
    <t>1 - 3 (4),</t>
  </si>
  <si>
    <t>4 - 6 (2),</t>
  </si>
  <si>
    <t>5 - 7 (3),</t>
  </si>
  <si>
    <t>3 →</t>
  </si>
  <si>
    <t>35</t>
  </si>
  <si>
    <t>2 - 5 (1),</t>
  </si>
  <si>
    <t>1 - 3 (5),</t>
  </si>
  <si>
    <t>1 - 4 (6),</t>
  </si>
  <si>
    <t>8</t>
  </si>
  <si>
    <t>36</t>
  </si>
  <si>
    <t>3 - 4 (5),</t>
  </si>
  <si>
    <t>2 - 6 (3),</t>
  </si>
  <si>
    <t>Název turnaje</t>
  </si>
  <si>
    <t>9</t>
  </si>
  <si>
    <t>37</t>
  </si>
  <si>
    <t>4 - 5 (1),</t>
  </si>
  <si>
    <t>3 - 6 (4),</t>
  </si>
  <si>
    <t>4 →</t>
  </si>
  <si>
    <t>10</t>
  </si>
  <si>
    <t>38</t>
  </si>
  <si>
    <t>2 - 3 (6),</t>
  </si>
  <si>
    <t>4 - 5 (3),</t>
  </si>
  <si>
    <t>11</t>
  </si>
  <si>
    <t>39</t>
  </si>
  <si>
    <t>1 - 7 (6),</t>
  </si>
  <si>
    <t>Typ turnaje</t>
  </si>
  <si>
    <t>12</t>
  </si>
  <si>
    <t>40</t>
  </si>
  <si>
    <t>3 - 4 (1),</t>
  </si>
  <si>
    <t>5 →</t>
  </si>
  <si>
    <t>Regional ČŠO</t>
  </si>
  <si>
    <t>13</t>
  </si>
  <si>
    <t>41</t>
  </si>
  <si>
    <t>1 - 2 (5),</t>
  </si>
  <si>
    <t>6 - 7 (2),</t>
  </si>
  <si>
    <t>14</t>
  </si>
  <si>
    <t>42</t>
  </si>
  <si>
    <t>5 - 6 (4)</t>
  </si>
  <si>
    <t>Kategorie turnaje</t>
  </si>
  <si>
    <t>15</t>
  </si>
  <si>
    <t>43</t>
  </si>
  <si>
    <t>2 - 6 (7),</t>
  </si>
  <si>
    <t>16</t>
  </si>
  <si>
    <t>44</t>
  </si>
  <si>
    <t>4 - 7 (1),</t>
  </si>
  <si>
    <t>17</t>
  </si>
  <si>
    <t>45</t>
  </si>
  <si>
    <t>2 - 3 (5),</t>
  </si>
  <si>
    <t>7 →</t>
  </si>
  <si>
    <t>Losovat ?</t>
  </si>
  <si>
    <t>NE</t>
  </si>
  <si>
    <t>18</t>
  </si>
  <si>
    <t>46</t>
  </si>
  <si>
    <t>5 - 6 (2),</t>
  </si>
  <si>
    <t>Hráčů celkem</t>
  </si>
  <si>
    <t>19</t>
  </si>
  <si>
    <t>47</t>
  </si>
  <si>
    <t>3 - 7 (4),</t>
  </si>
  <si>
    <t>Nasazeno</t>
  </si>
  <si>
    <t>20</t>
  </si>
  <si>
    <t>48</t>
  </si>
  <si>
    <t>1 - 2 (5)</t>
  </si>
  <si>
    <t>21</t>
  </si>
  <si>
    <t>49</t>
  </si>
  <si>
    <t>22</t>
  </si>
  <si>
    <t>50</t>
  </si>
  <si>
    <t>23</t>
  </si>
  <si>
    <t>51</t>
  </si>
  <si>
    <t>24</t>
  </si>
  <si>
    <t>52</t>
  </si>
  <si>
    <t>Vyberte typ pavouka</t>
  </si>
  <si>
    <t>25</t>
  </si>
  <si>
    <t>53</t>
  </si>
  <si>
    <t>Postup 6 z 1 skupiny</t>
  </si>
  <si>
    <t>61</t>
  </si>
  <si>
    <t>26</t>
  </si>
  <si>
    <t>54</t>
  </si>
  <si>
    <t>Postup 2 ze 2 skupin</t>
  </si>
  <si>
    <t>27</t>
  </si>
  <si>
    <t>55</t>
  </si>
  <si>
    <t>Postup 3 ze 2 skupin</t>
  </si>
  <si>
    <t>28</t>
  </si>
  <si>
    <t>56</t>
  </si>
  <si>
    <t>Postup 4 ze 2 skupin</t>
  </si>
  <si>
    <t>Postup 3 ze 3 skupin</t>
  </si>
  <si>
    <t>Počet přihlášených hráčů</t>
  </si>
  <si>
    <t>Postup 2 ze 4 skupin</t>
  </si>
  <si>
    <t>Postup 3 ze 4 skupin</t>
  </si>
  <si>
    <t>Počet nasazených hráčů</t>
  </si>
  <si>
    <t>Postup 4 ze 4 skupin</t>
  </si>
  <si>
    <t>Kat.</t>
  </si>
  <si>
    <t>Typ pav.</t>
  </si>
  <si>
    <t>3 nebo 4 ze 4</t>
  </si>
  <si>
    <t>Postup 3 z 6 skupin</t>
  </si>
  <si>
    <t>Zadejte typ turnaje</t>
  </si>
  <si>
    <t>8 →</t>
  </si>
  <si>
    <t>Počet skupin</t>
  </si>
  <si>
    <t>Postup 2 z 8 skupin</t>
  </si>
  <si>
    <t>Tříčlenná</t>
  </si>
  <si>
    <t>Postup 3 z 8 skupin</t>
  </si>
  <si>
    <t>Open turnaj</t>
  </si>
  <si>
    <t>9 →</t>
  </si>
  <si>
    <t>Počty hráčů ve skupinách</t>
  </si>
  <si>
    <t>A</t>
  </si>
  <si>
    <t>E</t>
  </si>
  <si>
    <t>ANO</t>
  </si>
  <si>
    <t>Postup 4 z 8 skupin</t>
  </si>
  <si>
    <t>Ostatní turnaje</t>
  </si>
  <si>
    <t>Max</t>
  </si>
  <si>
    <t>B</t>
  </si>
  <si>
    <t>F</t>
  </si>
  <si>
    <t>Min</t>
  </si>
  <si>
    <t>C</t>
  </si>
  <si>
    <t>G</t>
  </si>
  <si>
    <t>Rozdíl</t>
  </si>
  <si>
    <t>D</t>
  </si>
  <si>
    <t>H</t>
  </si>
  <si>
    <t>10 →</t>
  </si>
  <si>
    <t xml:space="preserve">Umístit hráče do skupin? </t>
  </si>
  <si>
    <t>Jsou dohrány skupiny?</t>
  </si>
  <si>
    <t>Typ pavouka</t>
  </si>
  <si>
    <t>14 →</t>
  </si>
  <si>
    <t xml:space="preserve">Použít pavouka? </t>
  </si>
  <si>
    <t>Skupina A</t>
  </si>
  <si>
    <t>Poznámky</t>
  </si>
  <si>
    <t>Počet bodů</t>
  </si>
  <si>
    <t>Skóre</t>
  </si>
  <si>
    <t>Pořadí</t>
  </si>
  <si>
    <t>Minitabulka - body</t>
  </si>
  <si>
    <t>Minitabulka - legy</t>
  </si>
  <si>
    <t>Nový leg 701 DO</t>
  </si>
  <si>
    <t>Pořadí - sdílené pozice
(pouze pro kontrolu)</t>
  </si>
  <si>
    <t>Pořadí - sdílené pozice</t>
  </si>
  <si>
    <t>Vyhrané legy</t>
  </si>
  <si>
    <t>Prohrané legy</t>
  </si>
  <si>
    <t>Shoda bodů - minitabulka</t>
  </si>
  <si>
    <t>Shoda bodů - 701DO</t>
  </si>
  <si>
    <t>Shodné body</t>
  </si>
  <si>
    <t>1 bod - četnosti</t>
  </si>
  <si>
    <t>2 body - četnosti</t>
  </si>
  <si>
    <t>3 body - četnosti</t>
  </si>
  <si>
    <t>4 body - četnosti</t>
  </si>
  <si>
    <t>5 bodů - četnosti</t>
  </si>
  <si>
    <t>Zobrazit sloupec 701</t>
  </si>
  <si>
    <t>Je shoda?</t>
  </si>
  <si>
    <t>Odehrané zápasy</t>
  </si>
  <si>
    <t>b</t>
  </si>
  <si>
    <t>1A</t>
  </si>
  <si>
    <t>1.</t>
  </si>
  <si>
    <t>Přihlášených je celkem</t>
  </si>
  <si>
    <t>Nasazení</t>
  </si>
  <si>
    <t>2.</t>
  </si>
  <si>
    <t>3.</t>
  </si>
  <si>
    <t>4.</t>
  </si>
  <si>
    <t>5.</t>
  </si>
  <si>
    <t>6.</t>
  </si>
  <si>
    <t>7.</t>
  </si>
  <si>
    <t>Skupina B</t>
  </si>
  <si>
    <t>2B</t>
  </si>
  <si>
    <t>Skupina C</t>
  </si>
  <si>
    <t>3C</t>
  </si>
  <si>
    <t>Skupina D</t>
  </si>
  <si>
    <t>4D</t>
  </si>
  <si>
    <t>Skupina E</t>
  </si>
  <si>
    <t>5E</t>
  </si>
  <si>
    <t>Skupina F</t>
  </si>
  <si>
    <t>6F</t>
  </si>
  <si>
    <t>Skupina G</t>
  </si>
  <si>
    <t>7G</t>
  </si>
  <si>
    <t>Jiné vzorce pro skupiny G a H.</t>
  </si>
  <si>
    <t>Skupina H</t>
  </si>
  <si>
    <t>8H</t>
  </si>
  <si>
    <t>15 →</t>
  </si>
  <si>
    <t>4VL</t>
  </si>
  <si>
    <t>Baráž 701 DO - A, B, C</t>
  </si>
  <si>
    <t>Pavouk pro 16</t>
  </si>
  <si>
    <t>Baráž abc</t>
  </si>
  <si>
    <t>?</t>
  </si>
  <si>
    <t xml:space="preserve"> </t>
  </si>
  <si>
    <t>Když je vyšší jak 0, tak je v baráži ABC dvakrát stejné číslo.</t>
  </si>
  <si>
    <t>Baráž def</t>
  </si>
  <si>
    <t>Když je vyšší jak 0, tak je v baráži DEF dvakrát stejné číslo.</t>
  </si>
  <si>
    <t>5VL</t>
  </si>
  <si>
    <t>QF</t>
  </si>
  <si>
    <t>SF</t>
  </si>
  <si>
    <t>Vítěz</t>
  </si>
  <si>
    <t>Finále</t>
  </si>
  <si>
    <t>Baráž 701 DO - D, E, F</t>
  </si>
  <si>
    <t>Poř.</t>
  </si>
  <si>
    <t>Body</t>
  </si>
  <si>
    <t>Jiné</t>
  </si>
  <si>
    <t>16 →</t>
  </si>
  <si>
    <t>Počet hráčů</t>
  </si>
  <si>
    <t>Zaokrouhleno dolů</t>
  </si>
  <si>
    <t>Zbytek po dělení</t>
  </si>
  <si>
    <t>Hráčů ve skupině (min.)</t>
  </si>
  <si>
    <t>Skupiny s méně hráči</t>
  </si>
  <si>
    <t>Skupiny s více hráči</t>
  </si>
  <si>
    <t>Hráčů ve větší skupině</t>
  </si>
  <si>
    <t>Hráčů v menší skupině</t>
  </si>
  <si>
    <t>orig.</t>
  </si>
  <si>
    <t>new</t>
  </si>
  <si>
    <t>BJ15&lt;3</t>
  </si>
  <si>
    <t>BJ16&gt;7;BJ8&gt;0</t>
  </si>
  <si>
    <t>BJ15&gt;7;BJ16&gt;7</t>
  </si>
  <si>
    <t>Převod hodnoty na číslo</t>
  </si>
  <si>
    <t>1 když se skupina hraje</t>
  </si>
  <si>
    <t>1 když je správně vybráno</t>
  </si>
  <si>
    <t>2 když se hraje a je vybráno</t>
  </si>
  <si>
    <t>1 když je chyba</t>
  </si>
  <si>
    <t>Nic když se nehraje</t>
  </si>
  <si>
    <t>Hodnoty pro podmíněné formátování chybného výběru počtu hráčů v e skupinách.</t>
  </si>
  <si>
    <t>Když je 1, tak je chyba.</t>
  </si>
  <si>
    <t>O programu →</t>
  </si>
  <si>
    <t>Los (F9)</t>
  </si>
  <si>
    <t>Návrh</t>
  </si>
  <si>
    <t>Skut.</t>
  </si>
  <si>
    <t>hráči</t>
  </si>
  <si>
    <t>skupin</t>
  </si>
  <si>
    <t>Když jsou hráči rozpočítáni dle návrhu, tak 1, když ne, tak 0.</t>
  </si>
  <si>
    <t>=KDYŽ(BJ5&gt;1;KDYŽ(BJ15&lt;3;1;""))</t>
  </si>
  <si>
    <t>Když je 1, tak je v pořádku. Když je 0, tak je chyba. Když je prázdné, tak se nepoužije do vzorce.</t>
  </si>
  <si>
    <t>Pro chybu v počtech hráčů ve skupinách. Žluté zvýraznění…</t>
  </si>
  <si>
    <t>Když je 1, tak nesouhlasí skupiny a pavouk</t>
  </si>
  <si>
    <t>Najeďte kurzorem nad červenou buňku s číslem a zobrazí se komentář s nápovědou.</t>
  </si>
  <si>
    <t>6 →</t>
  </si>
  <si>
    <t>12 ↓</t>
  </si>
  <si>
    <t>13 →</t>
  </si>
  <si>
    <t>17 →</t>
  </si>
  <si>
    <t>11 →</t>
  </si>
  <si>
    <t xml:space="preserve"> ⌀ 89,60</t>
  </si>
  <si>
    <t>Pro text v cont. v pavouku a výsledkovce.</t>
  </si>
  <si>
    <r>
      <t xml:space="preserve">Vytvořeno pro organizování a archivaci šipkových turnajů Steel Darts Přerov. 
Případné poznámky a podněty ke zlepšení posílejte na můj email, viz webové stránky </t>
    </r>
    <r>
      <rPr>
        <b/>
        <u val="double"/>
        <sz val="16"/>
        <color theme="0"/>
        <rFont val="Calibri"/>
        <family val="2"/>
        <charset val="238"/>
        <scheme val="minor"/>
      </rPr>
      <t>Steel Darts Přerov / Kontakty.</t>
    </r>
    <r>
      <rPr>
        <b/>
        <i/>
        <sz val="16"/>
        <color theme="0"/>
        <rFont val="Calibri"/>
        <family val="2"/>
        <charset val="238"/>
        <scheme val="minor"/>
      </rPr>
      <t xml:space="preserve">
Sportu zdar, 
Daniel Fitz 
Turnajový systém DARTABAN_ver.1.00_2021.04.11</t>
    </r>
  </si>
  <si>
    <t>2x180, 171, (5.)</t>
  </si>
  <si>
    <t>180, 141, 2x(5.), (4.)</t>
  </si>
  <si>
    <t>Lze zapsat cokoliv…</t>
  </si>
  <si>
    <t>Lze psát
i dvouřádkově…</t>
  </si>
  <si>
    <t>Nemusíte psát nic…</t>
  </si>
  <si>
    <t>Pavouk pro 16
1. část</t>
  </si>
  <si>
    <t>Pavouk pro 16
2. část</t>
  </si>
  <si>
    <t>Pavouk pro 8 / Finals</t>
  </si>
  <si>
    <t>1. část</t>
  </si>
  <si>
    <t>2. část</t>
  </si>
  <si>
    <t>Pavouk pro 16
1. část + baráž A, B, C</t>
  </si>
  <si>
    <t>Pavouk pro 8 + baráž A, B, C</t>
  </si>
  <si>
    <t>Pavouk pro 16
2. část + baráž D, E,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</si>
</sst>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[$-F800]dddd\,\ mmmm\ dd\,\ yyyy"/>
  </numFmts>
  <fonts count="7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0" tint="-0.14999847407452621"/>
      <name val="Calibri"/>
      <family val="2"/>
      <charset val="238"/>
      <scheme val="minor"/>
    </font>
    <font>
      <b/>
      <sz val="20"/>
      <color theme="2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8"/>
      <color theme="0" tint="-0.34998626667073579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14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9" tint="0.39997558519241921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0"/>
      <name val="Arial CE"/>
      <charset val="238"/>
    </font>
    <font>
      <sz val="14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color theme="0" tint="-0.499984740745262"/>
      <name val="Calibri"/>
      <family val="2"/>
      <charset val="238"/>
      <scheme val="minor"/>
    </font>
    <font>
      <b/>
      <sz val="24"/>
      <color theme="0" tint="-0.499984740745262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b/>
      <i/>
      <sz val="11"/>
      <color rgb="FF0070C0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4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4"/>
      <color theme="0" tint="-0.34998626667073579"/>
      <name val="Calibri"/>
      <family val="2"/>
      <charset val="238"/>
      <scheme val="minor"/>
    </font>
    <font>
      <i/>
      <sz val="16"/>
      <color indexed="81"/>
      <name val="Tahoma"/>
      <family val="2"/>
      <charset val="238"/>
    </font>
    <font>
      <b/>
      <u/>
      <sz val="16"/>
      <color indexed="10"/>
      <name val="Tahoma"/>
      <family val="2"/>
      <charset val="238"/>
    </font>
    <font>
      <i/>
      <u/>
      <sz val="16"/>
      <color indexed="10"/>
      <name val="Tahoma"/>
      <family val="2"/>
      <charset val="238"/>
    </font>
    <font>
      <b/>
      <u val="double"/>
      <sz val="16"/>
      <color theme="0"/>
      <name val="Calibri"/>
      <family val="2"/>
      <charset val="238"/>
      <scheme val="minor"/>
    </font>
    <font>
      <b/>
      <u/>
      <sz val="16"/>
      <color indexed="81"/>
      <name val="Tahoma"/>
      <family val="2"/>
      <charset val="238"/>
    </font>
    <font>
      <sz val="20"/>
      <color theme="0" tint="-0.499984740745262"/>
      <name val="Calibri"/>
      <family val="2"/>
      <charset val="238"/>
      <scheme val="minor"/>
    </font>
    <font>
      <b/>
      <sz val="20"/>
      <color theme="0" tint="-0.499984740745262"/>
      <name val="Calibri"/>
      <family val="2"/>
      <charset val="238"/>
      <scheme val="minor"/>
    </font>
    <font>
      <b/>
      <sz val="22"/>
      <color rgb="FF0070C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5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/>
  </cellStyleXfs>
  <cellXfs count="527">
    <xf numFmtId="0" fontId="0" fillId="0" borderId="0" xfId="0"/>
    <xf numFmtId="49" fontId="0" fillId="0" borderId="0" xfId="0" applyNumberFormat="1"/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49" fontId="7" fillId="0" borderId="0" xfId="0" applyNumberFormat="1" applyFont="1" applyAlignment="1">
      <alignment horizontal="center" vertical="center"/>
    </xf>
    <xf numFmtId="0" fontId="9" fillId="0" borderId="4" xfId="0" applyFont="1" applyBorder="1"/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3" borderId="5" xfId="0" applyFill="1" applyBorder="1"/>
    <xf numFmtId="0" fontId="0" fillId="3" borderId="3" xfId="0" applyFill="1" applyBorder="1"/>
    <xf numFmtId="0" fontId="6" fillId="0" borderId="1" xfId="0" applyFont="1" applyBorder="1"/>
    <xf numFmtId="49" fontId="0" fillId="0" borderId="1" xfId="0" applyNumberFormat="1" applyBorder="1"/>
    <xf numFmtId="49" fontId="0" fillId="0" borderId="5" xfId="0" applyNumberFormat="1" applyBorder="1"/>
    <xf numFmtId="49" fontId="14" fillId="4" borderId="9" xfId="0" applyNumberFormat="1" applyFont="1" applyFill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/>
    <xf numFmtId="0" fontId="0" fillId="0" borderId="9" xfId="0" applyBorder="1"/>
    <xf numFmtId="49" fontId="0" fillId="0" borderId="9" xfId="0" applyNumberFormat="1" applyBorder="1"/>
    <xf numFmtId="0" fontId="3" fillId="0" borderId="9" xfId="0" applyFont="1" applyBorder="1"/>
    <xf numFmtId="49" fontId="14" fillId="4" borderId="5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9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/>
    <xf numFmtId="0" fontId="6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4" borderId="1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3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22" fillId="4" borderId="5" xfId="0" applyNumberFormat="1" applyFont="1" applyFill="1" applyBorder="1" applyAlignment="1">
      <alignment horizontal="left" vertical="center"/>
    </xf>
    <xf numFmtId="49" fontId="23" fillId="0" borderId="5" xfId="0" applyNumberFormat="1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24" fillId="0" borderId="0" xfId="0" applyNumberFormat="1" applyFont="1" applyAlignment="1">
      <alignment vertical="center"/>
    </xf>
    <xf numFmtId="49" fontId="22" fillId="4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11" fillId="0" borderId="5" xfId="0" applyNumberFormat="1" applyFont="1" applyBorder="1" applyAlignment="1">
      <alignment horizontal="center" textRotation="90"/>
    </xf>
    <xf numFmtId="49" fontId="20" fillId="0" borderId="0" xfId="0" applyNumberFormat="1" applyFont="1" applyAlignment="1">
      <alignment horizontal="center" textRotation="90"/>
    </xf>
    <xf numFmtId="49" fontId="29" fillId="0" borderId="0" xfId="0" applyNumberFormat="1" applyFont="1" applyAlignment="1">
      <alignment horizontal="center" textRotation="90"/>
    </xf>
    <xf numFmtId="49" fontId="30" fillId="0" borderId="0" xfId="0" applyNumberFormat="1" applyFont="1" applyAlignment="1">
      <alignment horizontal="center" textRotation="90" wrapText="1"/>
    </xf>
    <xf numFmtId="49" fontId="30" fillId="0" borderId="0" xfId="0" applyNumberFormat="1" applyFont="1" applyAlignment="1">
      <alignment horizontal="center" vertical="center" textRotation="90"/>
    </xf>
    <xf numFmtId="0" fontId="30" fillId="0" borderId="0" xfId="0" applyFont="1" applyAlignment="1">
      <alignment horizontal="center" vertical="center" textRotation="90"/>
    </xf>
    <xf numFmtId="49" fontId="31" fillId="0" borderId="0" xfId="0" applyNumberFormat="1" applyFont="1" applyAlignment="1">
      <alignment horizontal="center" vertical="center" textRotation="90"/>
    </xf>
    <xf numFmtId="0" fontId="31" fillId="0" borderId="0" xfId="0" applyFont="1" applyAlignment="1">
      <alignment horizontal="center" vertical="center" textRotation="90"/>
    </xf>
    <xf numFmtId="49" fontId="31" fillId="0" borderId="0" xfId="0" applyNumberFormat="1" applyFont="1" applyAlignment="1">
      <alignment textRotation="9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right"/>
    </xf>
    <xf numFmtId="1" fontId="35" fillId="3" borderId="1" xfId="0" applyNumberFormat="1" applyFont="1" applyFill="1" applyBorder="1" applyAlignment="1">
      <alignment vertical="center"/>
    </xf>
    <xf numFmtId="0" fontId="35" fillId="3" borderId="2" xfId="0" applyFont="1" applyFill="1" applyBorder="1" applyAlignment="1">
      <alignment vertical="center"/>
    </xf>
    <xf numFmtId="1" fontId="35" fillId="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>
      <alignment horizontal="center" vertical="center"/>
    </xf>
    <xf numFmtId="1" fontId="35" fillId="0" borderId="3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49" fontId="30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1" applyNumberFormat="1" applyFont="1" applyFill="1" applyBorder="1" applyAlignment="1">
      <alignment horizontal="center" vertical="center"/>
    </xf>
    <xf numFmtId="0" fontId="2" fillId="0" borderId="0" xfId="0" applyFont="1"/>
    <xf numFmtId="0" fontId="38" fillId="0" borderId="0" xfId="0" applyFont="1"/>
    <xf numFmtId="1" fontId="6" fillId="0" borderId="5" xfId="0" applyNumberFormat="1" applyFont="1" applyBorder="1"/>
    <xf numFmtId="0" fontId="6" fillId="0" borderId="5" xfId="0" applyFont="1" applyBorder="1"/>
    <xf numFmtId="1" fontId="35" fillId="0" borderId="1" xfId="0" applyNumberFormat="1" applyFont="1" applyBorder="1" applyAlignment="1">
      <alignment horizontal="center" vertical="center"/>
    </xf>
    <xf numFmtId="1" fontId="35" fillId="0" borderId="3" xfId="0" applyNumberFormat="1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/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14" fontId="41" fillId="0" borderId="0" xfId="2" applyNumberFormat="1" applyFont="1" applyFill="1" applyBorder="1" applyAlignment="1" applyProtection="1">
      <alignment vertical="center"/>
      <protection locked="0"/>
    </xf>
    <xf numFmtId="0" fontId="41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/>
    <xf numFmtId="0" fontId="22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42" fillId="0" borderId="0" xfId="0" applyFont="1"/>
    <xf numFmtId="0" fontId="1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0" fillId="0" borderId="5" xfId="0" applyFont="1" applyBorder="1"/>
    <xf numFmtId="0" fontId="5" fillId="0" borderId="0" xfId="0" applyFont="1" applyAlignment="1">
      <alignment horizontal="left"/>
    </xf>
    <xf numFmtId="0" fontId="30" fillId="0" borderId="5" xfId="0" applyFont="1" applyBorder="1"/>
    <xf numFmtId="0" fontId="5" fillId="0" borderId="17" xfId="0" applyFont="1" applyBorder="1" applyAlignment="1">
      <alignment horizontal="center"/>
    </xf>
    <xf numFmtId="0" fontId="15" fillId="0" borderId="0" xfId="0" applyFont="1"/>
    <xf numFmtId="0" fontId="10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4" xfId="0" applyFont="1" applyBorder="1"/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7" fillId="0" borderId="0" xfId="0" applyFont="1" applyProtection="1"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21" fillId="0" borderId="0" xfId="0" applyNumberFormat="1" applyFont="1" applyAlignment="1">
      <alignment vertical="center" wrapText="1"/>
    </xf>
    <xf numFmtId="0" fontId="22" fillId="4" borderId="5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2" fillId="4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/>
    <xf numFmtId="0" fontId="53" fillId="0" borderId="0" xfId="0" applyFont="1"/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18" fillId="0" borderId="0" xfId="0" applyFont="1" applyAlignment="1">
      <alignment vertical="top" wrapText="1"/>
    </xf>
    <xf numFmtId="14" fontId="21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/>
    <xf numFmtId="0" fontId="2" fillId="0" borderId="5" xfId="0" applyFont="1" applyBorder="1"/>
    <xf numFmtId="0" fontId="18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49" fontId="5" fillId="0" borderId="0" xfId="0" applyNumberFormat="1" applyFont="1"/>
    <xf numFmtId="49" fontId="7" fillId="0" borderId="0" xfId="0" applyNumberFormat="1" applyFont="1"/>
    <xf numFmtId="49" fontId="1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0" fontId="5" fillId="0" borderId="0" xfId="0" applyFont="1"/>
    <xf numFmtId="0" fontId="35" fillId="0" borderId="0" xfId="0" applyFont="1"/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49" fontId="55" fillId="0" borderId="5" xfId="0" applyNumberFormat="1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49" fontId="55" fillId="0" borderId="5" xfId="0" applyNumberFormat="1" applyFont="1" applyBorder="1"/>
    <xf numFmtId="0" fontId="2" fillId="10" borderId="5" xfId="0" applyFont="1" applyFill="1" applyBorder="1" applyAlignment="1">
      <alignment horizontal="center" vertical="center"/>
    </xf>
    <xf numFmtId="49" fontId="2" fillId="10" borderId="0" xfId="0" applyNumberFormat="1" applyFont="1" applyFill="1" applyAlignment="1">
      <alignment horizontal="left" vertical="center"/>
    </xf>
    <xf numFmtId="49" fontId="2" fillId="10" borderId="0" xfId="0" applyNumberFormat="1" applyFont="1" applyFill="1" applyAlignment="1">
      <alignment horizontal="center" vertical="center"/>
    </xf>
    <xf numFmtId="49" fontId="2" fillId="10" borderId="0" xfId="0" applyNumberFormat="1" applyFont="1" applyFill="1"/>
    <xf numFmtId="0" fontId="2" fillId="10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3" borderId="5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7" fillId="0" borderId="0" xfId="0" applyFont="1"/>
    <xf numFmtId="0" fontId="16" fillId="0" borderId="4" xfId="0" applyFont="1" applyBorder="1" applyAlignment="1">
      <alignment wrapText="1"/>
    </xf>
    <xf numFmtId="0" fontId="5" fillId="0" borderId="2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4" fillId="4" borderId="5" xfId="0" applyFont="1" applyFill="1" applyBorder="1" applyAlignment="1">
      <alignment horizontal="center" vertical="center"/>
    </xf>
    <xf numFmtId="49" fontId="44" fillId="0" borderId="5" xfId="0" applyNumberFormat="1" applyFont="1" applyBorder="1" applyAlignment="1" applyProtection="1">
      <alignment horizontal="center" vertical="center"/>
      <protection locked="0"/>
    </xf>
    <xf numFmtId="49" fontId="44" fillId="4" borderId="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3" fillId="0" borderId="0" xfId="0" applyFont="1" applyAlignment="1" applyProtection="1">
      <alignment horizontal="center" vertical="center"/>
      <protection locked="0"/>
    </xf>
    <xf numFmtId="0" fontId="0" fillId="0" borderId="18" xfId="0" applyBorder="1"/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0" fontId="0" fillId="0" borderId="35" xfId="0" applyBorder="1"/>
    <xf numFmtId="0" fontId="0" fillId="0" borderId="4" xfId="0" applyBorder="1"/>
    <xf numFmtId="0" fontId="29" fillId="0" borderId="4" xfId="0" applyFont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15" fillId="0" borderId="7" xfId="0" applyFont="1" applyBorder="1"/>
    <xf numFmtId="0" fontId="49" fillId="0" borderId="8" xfId="0" applyFont="1" applyBorder="1" applyAlignment="1">
      <alignment vertical="center"/>
    </xf>
    <xf numFmtId="0" fontId="43" fillId="0" borderId="0" xfId="0" applyFont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/>
    </xf>
    <xf numFmtId="0" fontId="16" fillId="0" borderId="0" xfId="0" applyFont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0" xfId="0" applyFont="1" applyAlignment="1">
      <alignment wrapText="1"/>
    </xf>
    <xf numFmtId="0" fontId="15" fillId="0" borderId="17" xfId="0" applyFont="1" applyBorder="1"/>
    <xf numFmtId="0" fontId="10" fillId="0" borderId="8" xfId="0" applyFont="1" applyBorder="1"/>
    <xf numFmtId="0" fontId="15" fillId="0" borderId="9" xfId="0" applyFont="1" applyBorder="1"/>
    <xf numFmtId="0" fontId="5" fillId="0" borderId="9" xfId="0" applyFont="1" applyBorder="1" applyAlignment="1">
      <alignment vertical="center"/>
    </xf>
    <xf numFmtId="0" fontId="49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10" fillId="0" borderId="7" xfId="0" applyFont="1" applyBorder="1"/>
    <xf numFmtId="0" fontId="0" fillId="0" borderId="6" xfId="0" applyBorder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8" fillId="0" borderId="0" xfId="0" applyFont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 applyProtection="1">
      <alignment horizontal="left"/>
      <protection locked="0"/>
    </xf>
    <xf numFmtId="0" fontId="68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15" fillId="0" borderId="10" xfId="0" applyFont="1" applyBorder="1"/>
    <xf numFmtId="0" fontId="21" fillId="0" borderId="0" xfId="0" applyFont="1"/>
    <xf numFmtId="0" fontId="6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7" fillId="0" borderId="0" xfId="0" applyNumberFormat="1" applyFont="1" applyAlignment="1">
      <alignment horizontal="left" inden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4" fontId="13" fillId="4" borderId="6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7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14" fontId="1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/>
    </xf>
    <xf numFmtId="14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64" fillId="4" borderId="1" xfId="0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horizontal="center" vertical="center"/>
    </xf>
    <xf numFmtId="0" fontId="65" fillId="4" borderId="3" xfId="0" applyFont="1" applyFill="1" applyBorder="1" applyAlignment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1" fontId="24" fillId="0" borderId="2" xfId="0" applyNumberFormat="1" applyFont="1" applyBorder="1" applyAlignment="1" applyProtection="1">
      <alignment horizontal="center" vertical="center"/>
      <protection locked="0"/>
    </xf>
    <xf numFmtId="1" fontId="24" fillId="0" borderId="3" xfId="0" applyNumberFormat="1" applyFont="1" applyBorder="1" applyAlignment="1" applyProtection="1">
      <alignment horizontal="center" vertical="center"/>
      <protection locked="0"/>
    </xf>
    <xf numFmtId="1" fontId="23" fillId="0" borderId="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 indent="1"/>
    </xf>
    <xf numFmtId="49" fontId="25" fillId="0" borderId="1" xfId="0" applyNumberFormat="1" applyFont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49" fontId="25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>
      <alignment horizontal="center"/>
    </xf>
    <xf numFmtId="0" fontId="58" fillId="0" borderId="0" xfId="0" applyFont="1" applyAlignment="1">
      <alignment horizontal="left" vertical="center" indent="1"/>
    </xf>
    <xf numFmtId="49" fontId="22" fillId="0" borderId="0" xfId="0" applyNumberFormat="1" applyFont="1" applyAlignment="1">
      <alignment horizontal="left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textRotation="90"/>
    </xf>
    <xf numFmtId="0" fontId="28" fillId="4" borderId="2" xfId="0" applyFont="1" applyFill="1" applyBorder="1" applyAlignment="1">
      <alignment horizontal="center" textRotation="90"/>
    </xf>
    <xf numFmtId="0" fontId="28" fillId="4" borderId="3" xfId="0" applyFont="1" applyFill="1" applyBorder="1" applyAlignment="1">
      <alignment horizontal="center" textRotation="90"/>
    </xf>
    <xf numFmtId="49" fontId="12" fillId="0" borderId="1" xfId="0" applyNumberFormat="1" applyFont="1" applyBorder="1" applyAlignment="1">
      <alignment horizontal="center" textRotation="90"/>
    </xf>
    <xf numFmtId="49" fontId="12" fillId="0" borderId="2" xfId="0" applyNumberFormat="1" applyFont="1" applyBorder="1" applyAlignment="1">
      <alignment horizontal="center" textRotation="90"/>
    </xf>
    <xf numFmtId="49" fontId="12" fillId="0" borderId="3" xfId="0" applyNumberFormat="1" applyFont="1" applyBorder="1" applyAlignment="1">
      <alignment horizontal="center" textRotation="90"/>
    </xf>
    <xf numFmtId="49" fontId="12" fillId="0" borderId="10" xfId="0" applyNumberFormat="1" applyFont="1" applyBorder="1" applyAlignment="1">
      <alignment horizontal="center" textRotation="90"/>
    </xf>
    <xf numFmtId="0" fontId="28" fillId="4" borderId="1" xfId="0" applyFont="1" applyFill="1" applyBorder="1" applyAlignment="1">
      <alignment horizontal="left"/>
    </xf>
    <xf numFmtId="0" fontId="28" fillId="4" borderId="3" xfId="0" applyFont="1" applyFill="1" applyBorder="1" applyAlignment="1">
      <alignment horizontal="left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2" xfId="0" applyFont="1" applyBorder="1" applyAlignment="1" applyProtection="1">
      <alignment horizontal="left" vertical="center"/>
      <protection locked="0"/>
    </xf>
    <xf numFmtId="0" fontId="36" fillId="0" borderId="3" xfId="0" applyFont="1" applyBorder="1" applyAlignment="1" applyProtection="1">
      <alignment horizontal="left" vertical="center"/>
      <protection locked="0"/>
    </xf>
    <xf numFmtId="49" fontId="27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8" fillId="4" borderId="5" xfId="0" applyFont="1" applyFill="1" applyBorder="1" applyAlignment="1">
      <alignment horizontal="left"/>
    </xf>
    <xf numFmtId="0" fontId="36" fillId="0" borderId="1" xfId="0" applyFont="1" applyBorder="1" applyAlignment="1" applyProtection="1">
      <alignment horizontal="left" vertical="center"/>
      <protection locked="0"/>
    </xf>
    <xf numFmtId="49" fontId="28" fillId="4" borderId="1" xfId="0" applyNumberFormat="1" applyFont="1" applyFill="1" applyBorder="1" applyAlignment="1">
      <alignment horizontal="center" textRotation="90"/>
    </xf>
    <xf numFmtId="49" fontId="28" fillId="4" borderId="2" xfId="0" applyNumberFormat="1" applyFont="1" applyFill="1" applyBorder="1" applyAlignment="1">
      <alignment horizontal="center" textRotation="90"/>
    </xf>
    <xf numFmtId="49" fontId="28" fillId="4" borderId="3" xfId="0" applyNumberFormat="1" applyFont="1" applyFill="1" applyBorder="1" applyAlignment="1">
      <alignment horizontal="center" textRotation="9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1" fillId="4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left" wrapText="1"/>
      <protection locked="0"/>
    </xf>
    <xf numFmtId="0" fontId="16" fillId="0" borderId="14" xfId="0" applyFont="1" applyBorder="1" applyAlignment="1" applyProtection="1">
      <alignment horizontal="left" wrapText="1"/>
      <protection locked="0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16" fillId="0" borderId="26" xfId="0" applyFont="1" applyBorder="1" applyAlignment="1" applyProtection="1">
      <alignment horizontal="left"/>
      <protection locked="0"/>
    </xf>
    <xf numFmtId="14" fontId="48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49" fillId="4" borderId="19" xfId="0" applyFont="1" applyFill="1" applyBorder="1" applyAlignment="1">
      <alignment horizontal="center" vertical="center"/>
    </xf>
    <xf numFmtId="0" fontId="49" fillId="4" borderId="11" xfId="0" applyFont="1" applyFill="1" applyBorder="1" applyAlignment="1">
      <alignment horizontal="center" vertical="center"/>
    </xf>
    <xf numFmtId="0" fontId="49" fillId="4" borderId="20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37" xfId="0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35" fillId="4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4" fontId="21" fillId="2" borderId="6" xfId="0" applyNumberFormat="1" applyFont="1" applyFill="1" applyBorder="1" applyAlignment="1">
      <alignment horizontal="center" vertical="center" wrapText="1"/>
    </xf>
    <xf numFmtId="14" fontId="21" fillId="2" borderId="7" xfId="0" applyNumberFormat="1" applyFont="1" applyFill="1" applyBorder="1" applyAlignment="1">
      <alignment horizontal="center" vertical="center" wrapText="1"/>
    </xf>
    <xf numFmtId="14" fontId="21" fillId="2" borderId="8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/>
    </xf>
    <xf numFmtId="49" fontId="22" fillId="4" borderId="2" xfId="0" applyNumberFormat="1" applyFont="1" applyFill="1" applyBorder="1" applyAlignment="1">
      <alignment horizontal="center" vertical="center"/>
    </xf>
    <xf numFmtId="49" fontId="22" fillId="4" borderId="3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left" vertical="top" wrapText="1" indent="1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/>
    </xf>
    <xf numFmtId="0" fontId="43" fillId="0" borderId="5" xfId="0" applyFont="1" applyBorder="1" applyAlignment="1" applyProtection="1">
      <alignment horizontal="center" vertical="center"/>
      <protection locked="0"/>
    </xf>
    <xf numFmtId="14" fontId="69" fillId="4" borderId="18" xfId="0" applyNumberFormat="1" applyFont="1" applyFill="1" applyBorder="1" applyAlignment="1">
      <alignment horizontal="center" vertical="center"/>
    </xf>
    <xf numFmtId="14" fontId="69" fillId="4" borderId="10" xfId="0" applyNumberFormat="1" applyFont="1" applyFill="1" applyBorder="1" applyAlignment="1">
      <alignment horizontal="center" vertical="center"/>
    </xf>
    <xf numFmtId="14" fontId="69" fillId="4" borderId="17" xfId="0" applyNumberFormat="1" applyFont="1" applyFill="1" applyBorder="1" applyAlignment="1">
      <alignment horizontal="center" vertical="center"/>
    </xf>
    <xf numFmtId="14" fontId="69" fillId="4" borderId="6" xfId="0" applyNumberFormat="1" applyFont="1" applyFill="1" applyBorder="1" applyAlignment="1">
      <alignment horizontal="center" vertical="center"/>
    </xf>
    <xf numFmtId="14" fontId="69" fillId="4" borderId="7" xfId="0" applyNumberFormat="1" applyFont="1" applyFill="1" applyBorder="1" applyAlignment="1">
      <alignment horizontal="center" vertical="center"/>
    </xf>
    <xf numFmtId="14" fontId="69" fillId="4" borderId="8" xfId="0" applyNumberFormat="1" applyFont="1" applyFill="1" applyBorder="1" applyAlignment="1">
      <alignment horizontal="center" vertical="center"/>
    </xf>
    <xf numFmtId="0" fontId="43" fillId="0" borderId="38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center" vertical="center"/>
      <protection locked="0"/>
    </xf>
    <xf numFmtId="14" fontId="67" fillId="4" borderId="18" xfId="0" applyNumberFormat="1" applyFont="1" applyFill="1" applyBorder="1" applyAlignment="1">
      <alignment horizontal="center" vertical="center"/>
    </xf>
    <xf numFmtId="14" fontId="67" fillId="4" borderId="10" xfId="0" applyNumberFormat="1" applyFont="1" applyFill="1" applyBorder="1" applyAlignment="1">
      <alignment horizontal="center" vertical="center"/>
    </xf>
    <xf numFmtId="14" fontId="67" fillId="4" borderId="17" xfId="0" applyNumberFormat="1" applyFont="1" applyFill="1" applyBorder="1" applyAlignment="1">
      <alignment horizontal="center" vertical="center"/>
    </xf>
    <xf numFmtId="14" fontId="67" fillId="4" borderId="6" xfId="0" applyNumberFormat="1" applyFont="1" applyFill="1" applyBorder="1" applyAlignment="1">
      <alignment horizontal="center" vertical="center"/>
    </xf>
    <xf numFmtId="14" fontId="67" fillId="4" borderId="7" xfId="0" applyNumberFormat="1" applyFont="1" applyFill="1" applyBorder="1" applyAlignment="1">
      <alignment horizontal="center" vertical="center"/>
    </xf>
    <xf numFmtId="14" fontId="67" fillId="4" borderId="8" xfId="0" applyNumberFormat="1" applyFont="1" applyFill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 wrapText="1"/>
    </xf>
    <xf numFmtId="0" fontId="43" fillId="0" borderId="5" xfId="0" applyFont="1" applyBorder="1" applyAlignment="1" applyProtection="1">
      <alignment horizontal="center" vertical="center" wrapText="1"/>
      <protection locked="0"/>
    </xf>
    <xf numFmtId="0" fontId="66" fillId="4" borderId="18" xfId="0" applyFont="1" applyFill="1" applyBorder="1" applyAlignment="1">
      <alignment horizontal="center" vertical="center"/>
    </xf>
    <xf numFmtId="0" fontId="66" fillId="4" borderId="10" xfId="0" applyFont="1" applyFill="1" applyBorder="1" applyAlignment="1">
      <alignment horizontal="center" vertical="center"/>
    </xf>
    <xf numFmtId="0" fontId="66" fillId="4" borderId="17" xfId="0" applyFont="1" applyFill="1" applyBorder="1" applyAlignment="1">
      <alignment horizontal="center" vertical="center"/>
    </xf>
    <xf numFmtId="0" fontId="66" fillId="4" borderId="6" xfId="0" applyFont="1" applyFill="1" applyBorder="1" applyAlignment="1">
      <alignment horizontal="center" vertical="center"/>
    </xf>
    <xf numFmtId="0" fontId="66" fillId="4" borderId="7" xfId="0" applyFont="1" applyFill="1" applyBorder="1" applyAlignment="1">
      <alignment horizontal="center" vertical="center"/>
    </xf>
    <xf numFmtId="0" fontId="66" fillId="4" borderId="8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45" fillId="0" borderId="3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66" fillId="4" borderId="38" xfId="0" applyFont="1" applyFill="1" applyBorder="1" applyAlignment="1">
      <alignment horizontal="center" vertical="center"/>
    </xf>
    <xf numFmtId="0" fontId="66" fillId="4" borderId="9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43" fillId="0" borderId="35" xfId="0" applyFont="1" applyBorder="1" applyAlignment="1" applyProtection="1">
      <alignment horizontal="center" vertical="center"/>
      <protection locked="0"/>
    </xf>
    <xf numFmtId="0" fontId="43" fillId="4" borderId="18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35" xfId="0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43" fillId="4" borderId="7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3" fillId="4" borderId="18" xfId="0" applyFont="1" applyFill="1" applyBorder="1" applyAlignment="1">
      <alignment horizontal="center" vertical="center" wrapText="1"/>
    </xf>
    <xf numFmtId="0" fontId="71" fillId="4" borderId="18" xfId="0" applyFont="1" applyFill="1" applyBorder="1" applyAlignment="1">
      <alignment horizontal="center" vertical="center"/>
    </xf>
    <xf numFmtId="0" fontId="71" fillId="4" borderId="10" xfId="0" applyFont="1" applyFill="1" applyBorder="1" applyAlignment="1">
      <alignment horizontal="center" vertical="center"/>
    </xf>
    <xf numFmtId="0" fontId="71" fillId="4" borderId="17" xfId="0" applyFont="1" applyFill="1" applyBorder="1" applyAlignment="1">
      <alignment horizontal="center" vertical="center"/>
    </xf>
    <xf numFmtId="0" fontId="71" fillId="4" borderId="35" xfId="0" applyFont="1" applyFill="1" applyBorder="1" applyAlignment="1">
      <alignment horizontal="center" vertical="center"/>
    </xf>
    <xf numFmtId="0" fontId="71" fillId="4" borderId="0" xfId="0" applyFont="1" applyFill="1" applyAlignment="1">
      <alignment horizontal="center" vertical="center"/>
    </xf>
    <xf numFmtId="0" fontId="71" fillId="4" borderId="4" xfId="0" applyFont="1" applyFill="1" applyBorder="1" applyAlignment="1">
      <alignment horizontal="center" vertical="center"/>
    </xf>
    <xf numFmtId="0" fontId="71" fillId="4" borderId="6" xfId="0" applyFont="1" applyFill="1" applyBorder="1" applyAlignment="1">
      <alignment horizontal="center" vertical="center"/>
    </xf>
    <xf numFmtId="0" fontId="71" fillId="4" borderId="7" xfId="0" applyFont="1" applyFill="1" applyBorder="1" applyAlignment="1">
      <alignment horizontal="center" vertical="center"/>
    </xf>
    <xf numFmtId="0" fontId="71" fillId="4" borderId="8" xfId="0" applyFont="1" applyFill="1" applyBorder="1" applyAlignment="1">
      <alignment horizontal="center" vertical="center"/>
    </xf>
    <xf numFmtId="49" fontId="69" fillId="4" borderId="18" xfId="0" applyNumberFormat="1" applyFont="1" applyFill="1" applyBorder="1" applyAlignment="1">
      <alignment horizontal="center" vertical="center"/>
    </xf>
    <xf numFmtId="49" fontId="69" fillId="4" borderId="10" xfId="0" applyNumberFormat="1" applyFont="1" applyFill="1" applyBorder="1" applyAlignment="1">
      <alignment horizontal="center" vertical="center"/>
    </xf>
    <xf numFmtId="49" fontId="69" fillId="4" borderId="17" xfId="0" applyNumberFormat="1" applyFont="1" applyFill="1" applyBorder="1" applyAlignment="1">
      <alignment horizontal="center" vertical="center"/>
    </xf>
    <xf numFmtId="49" fontId="69" fillId="4" borderId="6" xfId="0" applyNumberFormat="1" applyFont="1" applyFill="1" applyBorder="1" applyAlignment="1">
      <alignment horizontal="center" vertical="center"/>
    </xf>
    <xf numFmtId="49" fontId="69" fillId="4" borderId="7" xfId="0" applyNumberFormat="1" applyFont="1" applyFill="1" applyBorder="1" applyAlignment="1">
      <alignment horizontal="center" vertical="center"/>
    </xf>
    <xf numFmtId="49" fontId="69" fillId="4" borderId="8" xfId="0" applyNumberFormat="1" applyFont="1" applyFill="1" applyBorder="1" applyAlignment="1">
      <alignment horizontal="center" vertical="center"/>
    </xf>
  </cellXfs>
  <cellStyles count="4">
    <cellStyle name="Čárka" xfId="1" builtinId="3"/>
    <cellStyle name="Hypertextový odkaz" xfId="2" builtinId="8"/>
    <cellStyle name="Normální" xfId="0" builtinId="0"/>
    <cellStyle name="normální 2" xfId="3" xr:uid="{00000000-0005-0000-0000-000003000000}"/>
  </cellStyles>
  <dxfs count="2011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0070C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rgb="FF0070C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ont>
        <color auto="1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strike val="0"/>
        <color rgb="FFFF0000"/>
      </font>
    </dxf>
    <dxf>
      <font>
        <strike/>
        <color theme="0" tint="-0.24994659260841701"/>
      </font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4.9989318521683403E-2"/>
      </font>
    </dxf>
    <dxf>
      <font>
        <color theme="0" tint="-4.9989318521683403E-2"/>
      </font>
    </dxf>
    <dxf>
      <font>
        <color auto="1"/>
      </font>
    </dxf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auto="1"/>
      </font>
    </dxf>
    <dxf>
      <font>
        <color theme="0" tint="-4.9989318521683403E-2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auto="1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384315</xdr:colOff>
      <xdr:row>58</xdr:row>
      <xdr:rowOff>95667</xdr:rowOff>
    </xdr:from>
    <xdr:ext cx="1422260" cy="1624389"/>
    <xdr:pic>
      <xdr:nvPicPr>
        <xdr:cNvPr id="2" name="Obrázek 1">
          <a:extLst>
            <a:ext uri="{FF2B5EF4-FFF2-40B4-BE49-F238E27FC236}">
              <a16:creationId xmlns:a16="http://schemas.microsoft.com/office/drawing/2014/main" id="{451FD6C7-793C-4C82-91D3-75A309279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14013053"/>
          <a:ext cx="1422260" cy="1624389"/>
        </a:xfrm>
        <a:prstGeom prst="rect">
          <a:avLst/>
        </a:prstGeom>
        <a:effectLst/>
      </xdr:spPr>
    </xdr:pic>
    <xdr:clientData/>
  </xdr:oneCellAnchor>
  <xdr:oneCellAnchor>
    <xdr:from>
      <xdr:col>7</xdr:col>
      <xdr:colOff>384315</xdr:colOff>
      <xdr:row>69</xdr:row>
      <xdr:rowOff>95667</xdr:rowOff>
    </xdr:from>
    <xdr:ext cx="1422260" cy="1624389"/>
    <xdr:pic>
      <xdr:nvPicPr>
        <xdr:cNvPr id="3" name="Obrázek 2">
          <a:extLst>
            <a:ext uri="{FF2B5EF4-FFF2-40B4-BE49-F238E27FC236}">
              <a16:creationId xmlns:a16="http://schemas.microsoft.com/office/drawing/2014/main" id="{229D2956-5875-4E23-8B50-A92408EF1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19341610"/>
          <a:ext cx="1422260" cy="1624389"/>
        </a:xfrm>
        <a:prstGeom prst="rect">
          <a:avLst/>
        </a:prstGeom>
        <a:effectLst/>
      </xdr:spPr>
    </xdr:pic>
    <xdr:clientData/>
  </xdr:oneCellAnchor>
  <xdr:oneCellAnchor>
    <xdr:from>
      <xdr:col>7</xdr:col>
      <xdr:colOff>384315</xdr:colOff>
      <xdr:row>80</xdr:row>
      <xdr:rowOff>95667</xdr:rowOff>
    </xdr:from>
    <xdr:ext cx="1422260" cy="1624389"/>
    <xdr:pic>
      <xdr:nvPicPr>
        <xdr:cNvPr id="4" name="Obrázek 3">
          <a:extLst>
            <a:ext uri="{FF2B5EF4-FFF2-40B4-BE49-F238E27FC236}">
              <a16:creationId xmlns:a16="http://schemas.microsoft.com/office/drawing/2014/main" id="{0DDEFF66-D033-4609-917C-2BA77214A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24670167"/>
          <a:ext cx="1422260" cy="1624389"/>
        </a:xfrm>
        <a:prstGeom prst="rect">
          <a:avLst/>
        </a:prstGeom>
        <a:effectLst/>
      </xdr:spPr>
    </xdr:pic>
    <xdr:clientData/>
  </xdr:oneCellAnchor>
  <xdr:oneCellAnchor>
    <xdr:from>
      <xdr:col>7</xdr:col>
      <xdr:colOff>384315</xdr:colOff>
      <xdr:row>91</xdr:row>
      <xdr:rowOff>95667</xdr:rowOff>
    </xdr:from>
    <xdr:ext cx="1422260" cy="1624389"/>
    <xdr:pic>
      <xdr:nvPicPr>
        <xdr:cNvPr id="5" name="Obrázek 4">
          <a:extLst>
            <a:ext uri="{FF2B5EF4-FFF2-40B4-BE49-F238E27FC236}">
              <a16:creationId xmlns:a16="http://schemas.microsoft.com/office/drawing/2014/main" id="{B7E08EE1-9217-44BD-AD8F-0C91B938D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29998724"/>
          <a:ext cx="1422260" cy="1624389"/>
        </a:xfrm>
        <a:prstGeom prst="rect">
          <a:avLst/>
        </a:prstGeom>
        <a:effectLst/>
      </xdr:spPr>
    </xdr:pic>
    <xdr:clientData/>
  </xdr:oneCellAnchor>
  <xdr:oneCellAnchor>
    <xdr:from>
      <xdr:col>7</xdr:col>
      <xdr:colOff>384315</xdr:colOff>
      <xdr:row>102</xdr:row>
      <xdr:rowOff>95667</xdr:rowOff>
    </xdr:from>
    <xdr:ext cx="1422260" cy="1624389"/>
    <xdr:pic>
      <xdr:nvPicPr>
        <xdr:cNvPr id="6" name="Obrázek 5">
          <a:extLst>
            <a:ext uri="{FF2B5EF4-FFF2-40B4-BE49-F238E27FC236}">
              <a16:creationId xmlns:a16="http://schemas.microsoft.com/office/drawing/2014/main" id="{78BC2A5F-FB61-45F4-8AD8-E46450BF5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35370824"/>
          <a:ext cx="1422260" cy="1624389"/>
        </a:xfrm>
        <a:prstGeom prst="rect">
          <a:avLst/>
        </a:prstGeom>
        <a:effectLst/>
      </xdr:spPr>
    </xdr:pic>
    <xdr:clientData/>
  </xdr:oneCellAnchor>
  <xdr:oneCellAnchor>
    <xdr:from>
      <xdr:col>7</xdr:col>
      <xdr:colOff>384315</xdr:colOff>
      <xdr:row>113</xdr:row>
      <xdr:rowOff>95667</xdr:rowOff>
    </xdr:from>
    <xdr:ext cx="1422260" cy="1624389"/>
    <xdr:pic>
      <xdr:nvPicPr>
        <xdr:cNvPr id="7" name="Obrázek 6">
          <a:extLst>
            <a:ext uri="{FF2B5EF4-FFF2-40B4-BE49-F238E27FC236}">
              <a16:creationId xmlns:a16="http://schemas.microsoft.com/office/drawing/2014/main" id="{95384158-4984-48FE-A78B-8A132284B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40699381"/>
          <a:ext cx="1422260" cy="1624389"/>
        </a:xfrm>
        <a:prstGeom prst="rect">
          <a:avLst/>
        </a:prstGeom>
        <a:effectLst/>
      </xdr:spPr>
    </xdr:pic>
    <xdr:clientData/>
  </xdr:oneCellAnchor>
  <xdr:oneCellAnchor>
    <xdr:from>
      <xdr:col>7</xdr:col>
      <xdr:colOff>384315</xdr:colOff>
      <xdr:row>124</xdr:row>
      <xdr:rowOff>95667</xdr:rowOff>
    </xdr:from>
    <xdr:ext cx="1422260" cy="1624389"/>
    <xdr:pic>
      <xdr:nvPicPr>
        <xdr:cNvPr id="8" name="Obrázek 7">
          <a:extLst>
            <a:ext uri="{FF2B5EF4-FFF2-40B4-BE49-F238E27FC236}">
              <a16:creationId xmlns:a16="http://schemas.microsoft.com/office/drawing/2014/main" id="{EBBD1AD9-C652-48DB-8C1C-701ABEAF2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46027938"/>
          <a:ext cx="1422260" cy="1624389"/>
        </a:xfrm>
        <a:prstGeom prst="rect">
          <a:avLst/>
        </a:prstGeom>
        <a:effectLst/>
      </xdr:spPr>
    </xdr:pic>
    <xdr:clientData/>
  </xdr:oneCellAnchor>
  <xdr:oneCellAnchor>
    <xdr:from>
      <xdr:col>7</xdr:col>
      <xdr:colOff>384315</xdr:colOff>
      <xdr:row>135</xdr:row>
      <xdr:rowOff>95667</xdr:rowOff>
    </xdr:from>
    <xdr:ext cx="1422260" cy="1624389"/>
    <xdr:pic>
      <xdr:nvPicPr>
        <xdr:cNvPr id="9" name="Obrázek 8">
          <a:extLst>
            <a:ext uri="{FF2B5EF4-FFF2-40B4-BE49-F238E27FC236}">
              <a16:creationId xmlns:a16="http://schemas.microsoft.com/office/drawing/2014/main" id="{79A4FACD-22F5-4F38-A3C6-25B098615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186" y="51356496"/>
          <a:ext cx="1422260" cy="1624389"/>
        </a:xfrm>
        <a:prstGeom prst="rect">
          <a:avLst/>
        </a:prstGeom>
        <a:effectLst/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1814-C6FD-4E09-95B5-A05ADBE68367}">
  <sheetPr>
    <tabColor rgb="FF00B050"/>
    <pageSetUpPr fitToPage="1"/>
  </sheetPr>
  <dimension ref="A1:DO264"/>
  <sheetViews>
    <sheetView showGridLines="0" showRowColHeaders="0" tabSelected="1" zoomScale="80" zoomScaleNormal="80" zoomScalePageLayoutView="53" workbookViewId="0">
      <selection activeCell="H5" sqref="H5:M5"/>
    </sheetView>
  </sheetViews>
  <sheetFormatPr defaultColWidth="9.15234375" defaultRowHeight="18.45" x14ac:dyDescent="0.5"/>
  <cols>
    <col min="1" max="1" width="5.69140625" style="1" customWidth="1"/>
    <col min="2" max="2" width="5.69140625" customWidth="1"/>
    <col min="3" max="3" width="3.15234375" style="1" customWidth="1"/>
    <col min="4" max="6" width="11" style="1" customWidth="1"/>
    <col min="7" max="7" width="7.15234375" style="2" customWidth="1"/>
    <col min="8" max="8" width="25.69140625" style="3" customWidth="1"/>
    <col min="9" max="9" width="5.69140625" style="4" customWidth="1"/>
    <col min="10" max="10" width="2.53515625" style="1" customWidth="1"/>
    <col min="11" max="11" width="0.69140625" style="1" customWidth="1"/>
    <col min="12" max="13" width="2.53515625" style="1" customWidth="1"/>
    <col min="14" max="14" width="0.69140625" style="1" customWidth="1"/>
    <col min="15" max="16" width="2.53515625" style="1" customWidth="1"/>
    <col min="17" max="17" width="0.69140625" style="1" customWidth="1"/>
    <col min="18" max="19" width="2.53515625" style="1" customWidth="1"/>
    <col min="20" max="20" width="0.69140625" style="1" customWidth="1"/>
    <col min="21" max="22" width="2.53515625" style="1" customWidth="1"/>
    <col min="23" max="23" width="0.69140625" style="1" customWidth="1"/>
    <col min="24" max="25" width="2.53515625" style="1" customWidth="1"/>
    <col min="26" max="26" width="0.69140625" style="1" customWidth="1"/>
    <col min="27" max="28" width="2.53515625" style="1" customWidth="1"/>
    <col min="29" max="29" width="0.69140625" style="1" customWidth="1"/>
    <col min="30" max="30" width="2.53515625" style="1" customWidth="1"/>
    <col min="31" max="33" width="7.53515625" style="5" customWidth="1"/>
    <col min="34" max="35" width="2.84375" style="1" customWidth="1"/>
    <col min="36" max="36" width="5.53515625" style="1" customWidth="1"/>
    <col min="37" max="37" width="0.69140625" style="1" customWidth="1"/>
    <col min="38" max="38" width="5.53515625" style="1" customWidth="1"/>
    <col min="39" max="39" width="7.15234375" style="1" customWidth="1"/>
    <col min="40" max="40" width="5.84375" style="6" customWidth="1"/>
    <col min="41" max="41" width="9.53515625" style="6" customWidth="1"/>
    <col min="42" max="42" width="6.3828125" style="7" customWidth="1"/>
    <col min="43" max="43" width="10.3828125" style="8" customWidth="1"/>
    <col min="44" max="44" width="7.84375" style="8" hidden="1" customWidth="1"/>
    <col min="45" max="45" width="6.3828125" style="9" hidden="1" customWidth="1"/>
    <col min="46" max="46" width="11.3828125" style="10" hidden="1" customWidth="1"/>
    <col min="47" max="47" width="5" style="10" hidden="1" customWidth="1"/>
    <col min="48" max="50" width="5.84375" style="10" hidden="1" customWidth="1"/>
    <col min="51" max="67" width="5.84375" style="9" hidden="1" customWidth="1"/>
    <col min="68" max="68" width="5.84375" style="10" hidden="1" customWidth="1"/>
    <col min="69" max="72" width="5.84375" style="9" hidden="1" customWidth="1"/>
    <col min="73" max="78" width="4.69140625" style="9" hidden="1" customWidth="1"/>
    <col min="79" max="79" width="4.69140625" style="8" hidden="1" customWidth="1"/>
    <col min="80" max="82" width="3.3828125" style="10" hidden="1" customWidth="1"/>
    <col min="83" max="88" width="3.3828125" style="9" hidden="1" customWidth="1"/>
    <col min="89" max="89" width="4.69140625" style="8" hidden="1" customWidth="1"/>
    <col min="90" max="90" width="9.15234375" style="1" hidden="1" customWidth="1"/>
    <col min="91" max="91" width="4" hidden="1" customWidth="1"/>
    <col min="92" max="92" width="20.3046875" hidden="1" customWidth="1"/>
    <col min="93" max="93" width="9.53515625" hidden="1" customWidth="1"/>
    <col min="94" max="94" width="24.84375" hidden="1" customWidth="1"/>
    <col min="95" max="95" width="8.84375" hidden="1" customWidth="1"/>
    <col min="96" max="96" width="19" hidden="1" customWidth="1"/>
    <col min="97" max="97" width="24.84375" hidden="1" customWidth="1"/>
    <col min="98" max="98" width="3.69140625" hidden="1" customWidth="1"/>
    <col min="99" max="99" width="3.3046875" style="11" hidden="1" customWidth="1"/>
    <col min="100" max="100" width="9.15234375" style="11" hidden="1" customWidth="1"/>
    <col min="101" max="101" width="1.84375" style="11" hidden="1" customWidth="1"/>
    <col min="102" max="102" width="9.15234375" style="11" hidden="1" customWidth="1"/>
    <col min="103" max="103" width="10.69140625" style="11" hidden="1" customWidth="1"/>
    <col min="104" max="104" width="29" style="11" hidden="1" customWidth="1"/>
    <col min="105" max="105" width="18.15234375" style="11" hidden="1" customWidth="1"/>
    <col min="106" max="106" width="24.69140625" style="1" hidden="1" customWidth="1"/>
    <col min="107" max="118" width="9.15234375" style="1" hidden="1" customWidth="1"/>
    <col min="119" max="16384" width="9.15234375" style="1"/>
  </cols>
  <sheetData>
    <row r="1" spans="1:109" x14ac:dyDescent="0.5">
      <c r="A1" s="269" t="s">
        <v>275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BI1"/>
      <c r="BJ1"/>
      <c r="BK1"/>
      <c r="BL1"/>
    </row>
    <row r="2" spans="1:109" ht="38.25" customHeight="1" x14ac:dyDescent="0.4">
      <c r="A2" s="12" t="s">
        <v>0</v>
      </c>
      <c r="B2" s="270" t="s">
        <v>1</v>
      </c>
      <c r="C2" s="271"/>
      <c r="D2" s="271"/>
      <c r="E2" s="272"/>
      <c r="F2" s="13"/>
      <c r="G2" s="273" t="s">
        <v>2</v>
      </c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5"/>
      <c r="BI2"/>
      <c r="BJ2"/>
      <c r="BK2"/>
      <c r="BL2"/>
      <c r="CN2" s="276" t="s">
        <v>3</v>
      </c>
      <c r="CO2" s="276"/>
      <c r="CP2" s="276"/>
      <c r="CQ2" s="276"/>
      <c r="CR2" s="276"/>
      <c r="CS2" s="276"/>
      <c r="CT2" s="14"/>
      <c r="DA2" s="15">
        <v>3</v>
      </c>
      <c r="DB2" s="16" t="s">
        <v>4</v>
      </c>
      <c r="DC2" s="16" t="s">
        <v>5</v>
      </c>
      <c r="DD2" s="16" t="s">
        <v>6</v>
      </c>
      <c r="DE2" s="16" t="s">
        <v>7</v>
      </c>
    </row>
    <row r="3" spans="1:109" ht="8.25" customHeight="1" x14ac:dyDescent="0.4">
      <c r="G3" s="261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1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8"/>
      <c r="AM3" s="278"/>
      <c r="AN3" s="18"/>
      <c r="BI3"/>
      <c r="BJ3"/>
      <c r="BK3"/>
      <c r="BL3"/>
    </row>
    <row r="4" spans="1:109" x14ac:dyDescent="0.5">
      <c r="B4" s="298" t="s">
        <v>8</v>
      </c>
      <c r="C4" s="299"/>
      <c r="D4" s="299"/>
      <c r="E4" s="300"/>
      <c r="G4" s="19" t="s">
        <v>9</v>
      </c>
      <c r="H4" s="301" t="s">
        <v>10</v>
      </c>
      <c r="I4" s="274"/>
      <c r="J4" s="274"/>
      <c r="K4" s="274"/>
      <c r="L4" s="274"/>
      <c r="M4" s="275"/>
      <c r="N4" s="301" t="s">
        <v>11</v>
      </c>
      <c r="O4" s="274"/>
      <c r="P4" s="274"/>
      <c r="Q4" s="274"/>
      <c r="R4" s="275"/>
      <c r="S4" s="301" t="s">
        <v>12</v>
      </c>
      <c r="T4" s="274"/>
      <c r="U4" s="275"/>
      <c r="V4" s="17"/>
      <c r="W4" s="301" t="s">
        <v>9</v>
      </c>
      <c r="X4" s="274"/>
      <c r="Y4" s="275"/>
      <c r="Z4" s="301" t="s">
        <v>10</v>
      </c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5"/>
      <c r="AL4" s="293" t="s">
        <v>11</v>
      </c>
      <c r="AM4" s="294"/>
      <c r="AN4" s="20" t="s">
        <v>12</v>
      </c>
      <c r="AX4" s="21"/>
      <c r="AY4" s="22" t="s">
        <v>1</v>
      </c>
      <c r="BI4" s="207" t="s">
        <v>243</v>
      </c>
      <c r="BJ4" s="170">
        <f>CP61</f>
        <v>0</v>
      </c>
      <c r="BK4"/>
      <c r="BL4"/>
      <c r="CN4" s="23" t="s">
        <v>13</v>
      </c>
      <c r="CO4" s="23" t="s">
        <v>12</v>
      </c>
      <c r="CP4" s="24" t="s">
        <v>14</v>
      </c>
      <c r="CR4" s="23" t="s">
        <v>15</v>
      </c>
      <c r="CS4" s="24" t="s">
        <v>14</v>
      </c>
      <c r="CZ4" s="11">
        <v>1</v>
      </c>
      <c r="DA4" s="25" t="s">
        <v>16</v>
      </c>
      <c r="DB4" s="26" t="s">
        <v>17</v>
      </c>
      <c r="DC4" s="26" t="s">
        <v>18</v>
      </c>
      <c r="DD4" s="26" t="s">
        <v>19</v>
      </c>
      <c r="DE4" s="27" t="s">
        <v>20</v>
      </c>
    </row>
    <row r="5" spans="1:109" ht="18.75" customHeight="1" x14ac:dyDescent="0.5">
      <c r="B5" s="295">
        <f ca="1">TODAY()</f>
        <v>44794</v>
      </c>
      <c r="C5" s="296"/>
      <c r="D5" s="296"/>
      <c r="E5" s="297"/>
      <c r="F5" s="12" t="s">
        <v>276</v>
      </c>
      <c r="G5" s="28" t="s">
        <v>21</v>
      </c>
      <c r="H5" s="279"/>
      <c r="I5" s="280"/>
      <c r="J5" s="280"/>
      <c r="K5" s="280"/>
      <c r="L5" s="280"/>
      <c r="M5" s="281"/>
      <c r="N5" s="282"/>
      <c r="O5" s="283"/>
      <c r="P5" s="283"/>
      <c r="Q5" s="283"/>
      <c r="R5" s="284"/>
      <c r="S5" s="285"/>
      <c r="T5" s="286"/>
      <c r="U5" s="287"/>
      <c r="V5" s="17"/>
      <c r="W5" s="288" t="s">
        <v>22</v>
      </c>
      <c r="X5" s="289"/>
      <c r="Y5" s="290"/>
      <c r="Z5" s="279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1"/>
      <c r="AL5" s="291"/>
      <c r="AM5" s="292"/>
      <c r="AN5" s="29"/>
      <c r="AX5" s="21"/>
      <c r="AY5" s="22" t="s">
        <v>23</v>
      </c>
      <c r="BI5" s="207" t="s">
        <v>147</v>
      </c>
      <c r="BJ5" s="171">
        <f>I38</f>
        <v>0</v>
      </c>
      <c r="BK5"/>
      <c r="BL5"/>
      <c r="CN5" s="30">
        <v>1</v>
      </c>
      <c r="CO5" s="31">
        <f>S5</f>
        <v>0</v>
      </c>
      <c r="CP5" s="32">
        <f>H5</f>
        <v>0</v>
      </c>
      <c r="CQ5" s="32">
        <f>N5</f>
        <v>0</v>
      </c>
      <c r="CR5" s="33">
        <v>1</v>
      </c>
      <c r="CS5" s="31" t="e">
        <f t="shared" ref="CS5:CS60" si="0">VLOOKUP(CR5,$CO$5:$CP$60,2,0)</f>
        <v>#N/A</v>
      </c>
      <c r="CZ5" s="11">
        <v>2</v>
      </c>
      <c r="DA5" s="25" t="s">
        <v>24</v>
      </c>
      <c r="DB5" s="26" t="s">
        <v>25</v>
      </c>
      <c r="DC5" s="26" t="s">
        <v>26</v>
      </c>
      <c r="DD5" s="26" t="s">
        <v>27</v>
      </c>
      <c r="DE5" s="27" t="s">
        <v>28</v>
      </c>
    </row>
    <row r="6" spans="1:109" ht="18.75" customHeight="1" x14ac:dyDescent="0.5">
      <c r="G6" s="34" t="s">
        <v>29</v>
      </c>
      <c r="H6" s="279"/>
      <c r="I6" s="280"/>
      <c r="J6" s="280"/>
      <c r="K6" s="280"/>
      <c r="L6" s="280"/>
      <c r="M6" s="281"/>
      <c r="N6" s="282"/>
      <c r="O6" s="283"/>
      <c r="P6" s="283"/>
      <c r="Q6" s="283"/>
      <c r="R6" s="284"/>
      <c r="S6" s="285"/>
      <c r="T6" s="286"/>
      <c r="U6" s="287"/>
      <c r="V6" s="17"/>
      <c r="W6" s="288" t="s">
        <v>30</v>
      </c>
      <c r="X6" s="289"/>
      <c r="Y6" s="290"/>
      <c r="Z6" s="279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1"/>
      <c r="AL6" s="291"/>
      <c r="AM6" s="292"/>
      <c r="AN6" s="29"/>
      <c r="AX6" s="21"/>
      <c r="AY6" s="22"/>
      <c r="BI6" s="207"/>
      <c r="BJ6"/>
      <c r="BK6"/>
      <c r="BL6"/>
      <c r="CN6" s="30">
        <v>2</v>
      </c>
      <c r="CO6" s="31">
        <f t="shared" ref="CO6:CO32" si="1">S6</f>
        <v>0</v>
      </c>
      <c r="CP6" s="32">
        <f t="shared" ref="CP6:CP32" si="2">H6</f>
        <v>0</v>
      </c>
      <c r="CQ6" s="32">
        <f t="shared" ref="CQ6:CQ32" si="3">N6</f>
        <v>0</v>
      </c>
      <c r="CR6" s="35">
        <v>2</v>
      </c>
      <c r="CS6" s="31" t="e">
        <f t="shared" si="0"/>
        <v>#N/A</v>
      </c>
      <c r="CZ6" s="11">
        <v>3</v>
      </c>
      <c r="DA6" s="25" t="s">
        <v>31</v>
      </c>
      <c r="DB6" s="26" t="s">
        <v>16</v>
      </c>
      <c r="DC6" s="26" t="s">
        <v>32</v>
      </c>
      <c r="DD6" s="26" t="s">
        <v>33</v>
      </c>
      <c r="DE6" s="27" t="s">
        <v>34</v>
      </c>
    </row>
    <row r="7" spans="1:109" ht="18.75" customHeight="1" x14ac:dyDescent="0.5">
      <c r="B7" s="298" t="s">
        <v>35</v>
      </c>
      <c r="C7" s="299"/>
      <c r="D7" s="299"/>
      <c r="E7" s="300"/>
      <c r="G7" s="34" t="s">
        <v>36</v>
      </c>
      <c r="H7" s="279"/>
      <c r="I7" s="280"/>
      <c r="J7" s="280"/>
      <c r="K7" s="280"/>
      <c r="L7" s="280"/>
      <c r="M7" s="281"/>
      <c r="N7" s="282"/>
      <c r="O7" s="283"/>
      <c r="P7" s="283"/>
      <c r="Q7" s="283"/>
      <c r="R7" s="284"/>
      <c r="S7" s="285"/>
      <c r="T7" s="286"/>
      <c r="U7" s="287"/>
      <c r="V7" s="17"/>
      <c r="W7" s="288" t="s">
        <v>37</v>
      </c>
      <c r="X7" s="289"/>
      <c r="Y7" s="290"/>
      <c r="Z7" s="279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1"/>
      <c r="AL7" s="291"/>
      <c r="AM7" s="292"/>
      <c r="AN7" s="29"/>
      <c r="BI7" s="207" t="s">
        <v>244</v>
      </c>
      <c r="BJ7">
        <f>FLOOR(BJ4,BJ5)</f>
        <v>0</v>
      </c>
      <c r="BK7"/>
      <c r="BL7"/>
      <c r="CN7" s="30">
        <v>3</v>
      </c>
      <c r="CO7" s="31">
        <f t="shared" si="1"/>
        <v>0</v>
      </c>
      <c r="CP7" s="32">
        <f t="shared" si="2"/>
        <v>0</v>
      </c>
      <c r="CQ7" s="32">
        <f t="shared" si="3"/>
        <v>0</v>
      </c>
      <c r="CR7" s="33">
        <v>3</v>
      </c>
      <c r="CS7" s="31" t="e">
        <f t="shared" si="0"/>
        <v>#N/A</v>
      </c>
      <c r="CZ7" s="11">
        <v>4</v>
      </c>
      <c r="DB7" s="26" t="s">
        <v>38</v>
      </c>
      <c r="DC7" s="26" t="s">
        <v>39</v>
      </c>
      <c r="DD7" s="26" t="s">
        <v>40</v>
      </c>
      <c r="DE7" s="27" t="s">
        <v>41</v>
      </c>
    </row>
    <row r="8" spans="1:109" ht="18.75" customHeight="1" x14ac:dyDescent="0.5">
      <c r="A8" s="12" t="s">
        <v>42</v>
      </c>
      <c r="B8" s="302"/>
      <c r="C8" s="303"/>
      <c r="D8" s="303"/>
      <c r="E8" s="304"/>
      <c r="G8" s="34" t="s">
        <v>4</v>
      </c>
      <c r="H8" s="279"/>
      <c r="I8" s="280"/>
      <c r="J8" s="280"/>
      <c r="K8" s="280"/>
      <c r="L8" s="280"/>
      <c r="M8" s="281"/>
      <c r="N8" s="282"/>
      <c r="O8" s="283"/>
      <c r="P8" s="283"/>
      <c r="Q8" s="283"/>
      <c r="R8" s="284"/>
      <c r="S8" s="285"/>
      <c r="T8" s="286"/>
      <c r="U8" s="287"/>
      <c r="V8" s="17"/>
      <c r="W8" s="288" t="s">
        <v>43</v>
      </c>
      <c r="X8" s="289"/>
      <c r="Y8" s="290"/>
      <c r="Z8" s="279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1"/>
      <c r="AL8" s="291"/>
      <c r="AM8" s="292"/>
      <c r="AN8" s="29"/>
      <c r="BI8" s="207" t="s">
        <v>245</v>
      </c>
      <c r="BJ8" t="e">
        <f>MOD(BJ4,BJ5)</f>
        <v>#DIV/0!</v>
      </c>
      <c r="BK8"/>
      <c r="BL8"/>
      <c r="CN8" s="30">
        <v>4</v>
      </c>
      <c r="CO8" s="31">
        <f t="shared" si="1"/>
        <v>0</v>
      </c>
      <c r="CP8" s="32">
        <f>H8</f>
        <v>0</v>
      </c>
      <c r="CQ8" s="32">
        <f t="shared" si="3"/>
        <v>0</v>
      </c>
      <c r="CR8" s="35">
        <v>4</v>
      </c>
      <c r="CS8" s="31" t="e">
        <f t="shared" si="0"/>
        <v>#N/A</v>
      </c>
      <c r="CZ8" s="11">
        <v>5</v>
      </c>
      <c r="DB8" s="26" t="s">
        <v>44</v>
      </c>
      <c r="DC8" s="26" t="s">
        <v>25</v>
      </c>
      <c r="DD8" s="26" t="s">
        <v>26</v>
      </c>
      <c r="DE8" s="27" t="s">
        <v>16</v>
      </c>
    </row>
    <row r="9" spans="1:109" ht="18.75" customHeight="1" x14ac:dyDescent="0.5">
      <c r="G9" s="34" t="s">
        <v>5</v>
      </c>
      <c r="H9" s="279"/>
      <c r="I9" s="280"/>
      <c r="J9" s="280"/>
      <c r="K9" s="280"/>
      <c r="L9" s="280"/>
      <c r="M9" s="281"/>
      <c r="N9" s="282"/>
      <c r="O9" s="283"/>
      <c r="P9" s="283"/>
      <c r="Q9" s="283"/>
      <c r="R9" s="284"/>
      <c r="S9" s="285"/>
      <c r="T9" s="286"/>
      <c r="U9" s="287"/>
      <c r="V9" s="17"/>
      <c r="W9" s="288" t="s">
        <v>45</v>
      </c>
      <c r="X9" s="289"/>
      <c r="Y9" s="290"/>
      <c r="Z9" s="279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1"/>
      <c r="AL9" s="291"/>
      <c r="AM9" s="292"/>
      <c r="AN9" s="29"/>
      <c r="AZ9" s="9" t="s">
        <v>273</v>
      </c>
      <c r="BB9" s="10"/>
      <c r="BI9" s="207"/>
      <c r="BJ9"/>
      <c r="BK9"/>
      <c r="BL9"/>
      <c r="BM9" s="1"/>
      <c r="BN9" s="1"/>
      <c r="BO9" s="1"/>
      <c r="BP9" s="1"/>
      <c r="BS9" s="177" t="s">
        <v>266</v>
      </c>
      <c r="BT9" s="198" t="s">
        <v>267</v>
      </c>
      <c r="CN9" s="30">
        <v>5</v>
      </c>
      <c r="CO9" s="31">
        <f t="shared" si="1"/>
        <v>0</v>
      </c>
      <c r="CP9" s="32">
        <f t="shared" si="2"/>
        <v>0</v>
      </c>
      <c r="CQ9" s="32">
        <f t="shared" si="3"/>
        <v>0</v>
      </c>
      <c r="CR9" s="33">
        <v>5</v>
      </c>
      <c r="CS9" s="31" t="e">
        <f t="shared" si="0"/>
        <v>#N/A</v>
      </c>
      <c r="CZ9" s="11">
        <v>6</v>
      </c>
      <c r="DB9" s="26" t="s">
        <v>46</v>
      </c>
      <c r="DC9" s="26" t="s">
        <v>47</v>
      </c>
      <c r="DD9" s="26" t="s">
        <v>41</v>
      </c>
      <c r="DE9" s="27" t="s">
        <v>48</v>
      </c>
    </row>
    <row r="10" spans="1:109" ht="18.75" customHeight="1" x14ac:dyDescent="0.5">
      <c r="B10" s="306" t="s">
        <v>49</v>
      </c>
      <c r="C10" s="306"/>
      <c r="D10" s="306"/>
      <c r="E10" s="306"/>
      <c r="G10" s="34" t="s">
        <v>6</v>
      </c>
      <c r="H10" s="279"/>
      <c r="I10" s="280"/>
      <c r="J10" s="280"/>
      <c r="K10" s="280"/>
      <c r="L10" s="280"/>
      <c r="M10" s="281"/>
      <c r="N10" s="282"/>
      <c r="O10" s="283"/>
      <c r="P10" s="283"/>
      <c r="Q10" s="283"/>
      <c r="R10" s="284"/>
      <c r="S10" s="285"/>
      <c r="T10" s="286"/>
      <c r="U10" s="287"/>
      <c r="V10" s="17"/>
      <c r="W10" s="288" t="s">
        <v>50</v>
      </c>
      <c r="X10" s="289"/>
      <c r="Y10" s="290"/>
      <c r="Z10" s="279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1"/>
      <c r="AL10" s="291"/>
      <c r="AM10" s="292"/>
      <c r="AN10" s="29"/>
      <c r="AX10" s="54" t="e">
        <f>IF(CV40=$BJ$15,1,0)</f>
        <v>#DIV/0!</v>
      </c>
      <c r="AY10" s="54" t="e">
        <f>IF(AND($BJ$13&gt;0,CV40=$BJ$16),1,0)</f>
        <v>#DIV/0!</v>
      </c>
      <c r="AZ10" s="206" t="str">
        <f>IF(CV40&gt;0,AX10+AY10,"")</f>
        <v/>
      </c>
      <c r="BA10"/>
      <c r="BB10" s="54" t="e">
        <f>IF(CX40=$BJ$15,1,0)</f>
        <v>#DIV/0!</v>
      </c>
      <c r="BC10" s="54" t="e">
        <f>IF(AND($BJ$13&gt;0,CX40=$BJ$16),1,0)</f>
        <v>#DIV/0!</v>
      </c>
      <c r="BD10" s="206" t="str">
        <f>IF(CX40&gt;0,BB10+BC10,"")</f>
        <v/>
      </c>
      <c r="BE10"/>
      <c r="BI10" s="207" t="s">
        <v>246</v>
      </c>
      <c r="BJ10" t="e">
        <f>BJ7/BJ5</f>
        <v>#DIV/0!</v>
      </c>
      <c r="BK10"/>
      <c r="BL10"/>
      <c r="BM10" s="1"/>
      <c r="BN10" s="1"/>
      <c r="BO10" s="1"/>
      <c r="BP10" s="1"/>
      <c r="BQ10" s="9" t="s">
        <v>268</v>
      </c>
      <c r="BS10" s="54" t="e">
        <f>BJ12</f>
        <v>#DIV/0!</v>
      </c>
      <c r="BT10" s="199">
        <f>COUNTIF(CV40:CX46,BS11)</f>
        <v>0</v>
      </c>
      <c r="BU10" s="195" t="e">
        <f>IF(BS10=BT10,1,0)</f>
        <v>#DIV/0!</v>
      </c>
      <c r="CN10" s="30">
        <v>6</v>
      </c>
      <c r="CO10" s="31">
        <f t="shared" si="1"/>
        <v>0</v>
      </c>
      <c r="CP10" s="32">
        <f t="shared" si="2"/>
        <v>0</v>
      </c>
      <c r="CQ10" s="32">
        <f t="shared" si="3"/>
        <v>0</v>
      </c>
      <c r="CR10" s="35">
        <v>6</v>
      </c>
      <c r="CS10" s="31" t="e">
        <f t="shared" si="0"/>
        <v>#N/A</v>
      </c>
      <c r="CZ10" s="11">
        <v>7</v>
      </c>
      <c r="DC10" s="26" t="s">
        <v>51</v>
      </c>
      <c r="DD10" s="26" t="s">
        <v>52</v>
      </c>
      <c r="DE10" s="27" t="s">
        <v>53</v>
      </c>
    </row>
    <row r="11" spans="1:109" ht="18.75" customHeight="1" x14ac:dyDescent="0.5">
      <c r="A11" s="12" t="s">
        <v>54</v>
      </c>
      <c r="B11" s="305"/>
      <c r="C11" s="305"/>
      <c r="D11" s="305"/>
      <c r="E11" s="305"/>
      <c r="G11" s="34" t="s">
        <v>7</v>
      </c>
      <c r="H11" s="279"/>
      <c r="I11" s="280"/>
      <c r="J11" s="280"/>
      <c r="K11" s="280"/>
      <c r="L11" s="280"/>
      <c r="M11" s="281"/>
      <c r="N11" s="282"/>
      <c r="O11" s="283"/>
      <c r="P11" s="283"/>
      <c r="Q11" s="283"/>
      <c r="R11" s="284"/>
      <c r="S11" s="285"/>
      <c r="T11" s="286"/>
      <c r="U11" s="287"/>
      <c r="V11" s="17"/>
      <c r="W11" s="288" t="s">
        <v>55</v>
      </c>
      <c r="X11" s="289"/>
      <c r="Y11" s="290"/>
      <c r="Z11" s="279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1"/>
      <c r="AL11" s="291"/>
      <c r="AM11" s="292"/>
      <c r="AN11" s="29"/>
      <c r="AX11" s="54" t="e">
        <f>IF(CV42=$BJ$15,1,0)</f>
        <v>#DIV/0!</v>
      </c>
      <c r="AY11" s="54" t="e">
        <f>IF(AND($BJ$13&gt;0,CV42=$BJ$16),1,0)</f>
        <v>#DIV/0!</v>
      </c>
      <c r="AZ11" s="206" t="str">
        <f>IF(CV42&gt;0,AX11+AY11,"")</f>
        <v/>
      </c>
      <c r="BA11"/>
      <c r="BB11" s="54" t="e">
        <f>IF(CX42=$BJ$15,1,0)</f>
        <v>#DIV/0!</v>
      </c>
      <c r="BC11" s="54" t="e">
        <f>IF(AND($BJ$13&gt;0,CX42=$BJ$16),1,0)</f>
        <v>#DIV/0!</v>
      </c>
      <c r="BD11" s="206" t="str">
        <f>IF(CX42&gt;0,BB11+BC11,"")</f>
        <v/>
      </c>
      <c r="BE11"/>
      <c r="BI11" s="207"/>
      <c r="BJ11"/>
      <c r="BK11"/>
      <c r="BL11"/>
      <c r="BM11" s="1"/>
      <c r="BN11" s="1"/>
      <c r="BO11" s="1"/>
      <c r="BP11" s="1"/>
      <c r="BQ11" s="196" t="s">
        <v>269</v>
      </c>
      <c r="BR11" s="196"/>
      <c r="BS11" s="197" t="e">
        <f>BJ15</f>
        <v>#DIV/0!</v>
      </c>
      <c r="BT11" s="199"/>
      <c r="BU11" s="10"/>
      <c r="BV11" s="201" t="e">
        <f>IF(AND(BU10=1,BU12=1),1,0)</f>
        <v>#DIV/0!</v>
      </c>
      <c r="BW11" s="202" t="s">
        <v>270</v>
      </c>
      <c r="BX11" s="203"/>
      <c r="BY11" s="203"/>
      <c r="BZ11" s="203"/>
      <c r="CA11" s="204"/>
      <c r="CB11" s="205"/>
      <c r="CC11" s="205"/>
      <c r="CD11" s="205"/>
      <c r="CE11" s="203"/>
      <c r="CF11" s="203"/>
      <c r="CG11" s="203"/>
      <c r="CH11" s="203"/>
      <c r="CI11" s="203"/>
      <c r="CN11" s="30">
        <v>7</v>
      </c>
      <c r="CO11" s="31">
        <f t="shared" si="1"/>
        <v>0</v>
      </c>
      <c r="CP11" s="32">
        <f t="shared" si="2"/>
        <v>0</v>
      </c>
      <c r="CQ11" s="32">
        <f t="shared" si="3"/>
        <v>0</v>
      </c>
      <c r="CR11" s="33">
        <v>7</v>
      </c>
      <c r="CS11" s="31" t="e">
        <f t="shared" si="0"/>
        <v>#N/A</v>
      </c>
      <c r="CZ11" s="11">
        <v>8</v>
      </c>
      <c r="DC11" s="26" t="s">
        <v>56</v>
      </c>
      <c r="DD11" s="26" t="s">
        <v>57</v>
      </c>
      <c r="DE11" s="27" t="s">
        <v>58</v>
      </c>
    </row>
    <row r="12" spans="1:109" ht="18.75" customHeight="1" x14ac:dyDescent="0.5">
      <c r="B12" s="191"/>
      <c r="C12" s="191"/>
      <c r="D12" s="191"/>
      <c r="E12" s="191"/>
      <c r="G12" s="34" t="s">
        <v>59</v>
      </c>
      <c r="H12" s="279"/>
      <c r="I12" s="280"/>
      <c r="J12" s="280"/>
      <c r="K12" s="280"/>
      <c r="L12" s="280"/>
      <c r="M12" s="281"/>
      <c r="N12" s="282"/>
      <c r="O12" s="283"/>
      <c r="P12" s="283"/>
      <c r="Q12" s="283"/>
      <c r="R12" s="284"/>
      <c r="S12" s="285"/>
      <c r="T12" s="286"/>
      <c r="U12" s="287"/>
      <c r="V12" s="17"/>
      <c r="W12" s="288" t="s">
        <v>60</v>
      </c>
      <c r="X12" s="289"/>
      <c r="Y12" s="290"/>
      <c r="Z12" s="279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1"/>
      <c r="AL12" s="291"/>
      <c r="AM12" s="292"/>
      <c r="AN12" s="29"/>
      <c r="AX12" s="54" t="e">
        <f>IF(CV44=$BJ$15,1,0)</f>
        <v>#DIV/0!</v>
      </c>
      <c r="AY12" s="54" t="e">
        <f>IF(AND($BJ$13&gt;0,CV44=$BJ$16),1,0)</f>
        <v>#DIV/0!</v>
      </c>
      <c r="AZ12" s="206" t="str">
        <f>IF(CV44&gt;0,AX12+AY12,"")</f>
        <v/>
      </c>
      <c r="BA12"/>
      <c r="BB12" s="54" t="e">
        <f>IF(CX44=$BJ$15,1,0)</f>
        <v>#DIV/0!</v>
      </c>
      <c r="BC12" s="54" t="e">
        <f>IF(AND($BJ$13&gt;0,CX44=$BJ$16),1,0)</f>
        <v>#DIV/0!</v>
      </c>
      <c r="BD12" s="206" t="str">
        <f>IF(CX44&gt;0,BB12+BC12,"")</f>
        <v/>
      </c>
      <c r="BE12"/>
      <c r="BI12" s="207" t="s">
        <v>247</v>
      </c>
      <c r="BJ12" t="e">
        <f>BJ5-BJ8</f>
        <v>#DIV/0!</v>
      </c>
      <c r="BK12" t="e">
        <f>IF(BJ12=1," skupiny"," skupin")</f>
        <v>#DIV/0!</v>
      </c>
      <c r="BL12"/>
      <c r="BM12" s="1"/>
      <c r="BN12" s="1"/>
      <c r="BO12" s="1"/>
      <c r="BP12" s="1"/>
      <c r="BQ12" s="9" t="s">
        <v>268</v>
      </c>
      <c r="BS12" s="54" t="e">
        <f>BJ13</f>
        <v>#DIV/0!</v>
      </c>
      <c r="BT12" s="199">
        <f>COUNTIF(CV40:CX46,BS13)</f>
        <v>0</v>
      </c>
      <c r="BU12" s="195" t="e">
        <f>IF(BS12=BT12,1,0)</f>
        <v>#DIV/0!</v>
      </c>
      <c r="CN12" s="30">
        <v>8</v>
      </c>
      <c r="CO12" s="31">
        <f t="shared" si="1"/>
        <v>0</v>
      </c>
      <c r="CP12" s="32">
        <f t="shared" si="2"/>
        <v>0</v>
      </c>
      <c r="CQ12" s="32">
        <f t="shared" si="3"/>
        <v>0</v>
      </c>
      <c r="CR12" s="35">
        <v>8</v>
      </c>
      <c r="CS12" s="31" t="e">
        <f t="shared" si="0"/>
        <v>#N/A</v>
      </c>
      <c r="CZ12" s="11">
        <v>9</v>
      </c>
      <c r="DC12" s="26" t="s">
        <v>61</v>
      </c>
      <c r="DD12" s="26" t="s">
        <v>62</v>
      </c>
      <c r="DE12" s="27" t="s">
        <v>56</v>
      </c>
    </row>
    <row r="13" spans="1:109" ht="18.75" customHeight="1" x14ac:dyDescent="0.5">
      <c r="B13" s="298" t="s">
        <v>63</v>
      </c>
      <c r="C13" s="299"/>
      <c r="D13" s="299"/>
      <c r="E13" s="300"/>
      <c r="G13" s="34" t="s">
        <v>64</v>
      </c>
      <c r="H13" s="279"/>
      <c r="I13" s="280"/>
      <c r="J13" s="280"/>
      <c r="K13" s="280"/>
      <c r="L13" s="280"/>
      <c r="M13" s="281"/>
      <c r="N13" s="282"/>
      <c r="O13" s="283"/>
      <c r="P13" s="283"/>
      <c r="Q13" s="283"/>
      <c r="R13" s="284"/>
      <c r="S13" s="285"/>
      <c r="T13" s="286"/>
      <c r="U13" s="287"/>
      <c r="V13" s="17"/>
      <c r="W13" s="288" t="s">
        <v>65</v>
      </c>
      <c r="X13" s="289"/>
      <c r="Y13" s="290"/>
      <c r="Z13" s="279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1"/>
      <c r="AL13" s="291"/>
      <c r="AM13" s="292"/>
      <c r="AN13" s="29"/>
      <c r="AX13" s="54" t="e">
        <f>IF(CV46=$BJ$15,1,0)</f>
        <v>#DIV/0!</v>
      </c>
      <c r="AY13" s="54" t="e">
        <f>IF(AND($BJ$13&gt;0,CV46=$BJ$16),1,0)</f>
        <v>#DIV/0!</v>
      </c>
      <c r="AZ13" s="206" t="str">
        <f>IF(CV46&gt;0,AX13+AY13,"")</f>
        <v/>
      </c>
      <c r="BA13"/>
      <c r="BB13" s="54" t="e">
        <f>IF(CX46=$BJ$15,1,0)</f>
        <v>#DIV/0!</v>
      </c>
      <c r="BC13" s="54" t="e">
        <f>IF(AND($BJ$13&gt;0,CX46=$BJ$16),1,0)</f>
        <v>#DIV/0!</v>
      </c>
      <c r="BD13" s="206" t="str">
        <f>IF(CX46&gt;0,BB13+BC13,"")</f>
        <v/>
      </c>
      <c r="BE13"/>
      <c r="BI13" s="207" t="s">
        <v>248</v>
      </c>
      <c r="BJ13" t="e">
        <f>BJ8</f>
        <v>#DIV/0!</v>
      </c>
      <c r="BK13" t="e">
        <f>IF(BJ13=1," skupiny"," skupin")</f>
        <v>#DIV/0!</v>
      </c>
      <c r="BL13"/>
      <c r="BM13" s="1"/>
      <c r="BN13" s="1"/>
      <c r="BO13" s="1"/>
      <c r="BP13" s="1"/>
      <c r="BQ13" s="196" t="s">
        <v>269</v>
      </c>
      <c r="BR13" s="196"/>
      <c r="BS13" s="197" t="e">
        <f>BJ16</f>
        <v>#DIV/0!</v>
      </c>
      <c r="BT13" s="200"/>
      <c r="BU13" s="1"/>
      <c r="BV13" s="1"/>
      <c r="BW13" s="1"/>
      <c r="CN13" s="30">
        <v>9</v>
      </c>
      <c r="CO13" s="31">
        <f t="shared" si="1"/>
        <v>0</v>
      </c>
      <c r="CP13" s="32">
        <f t="shared" si="2"/>
        <v>0</v>
      </c>
      <c r="CQ13" s="32">
        <f t="shared" si="3"/>
        <v>0</v>
      </c>
      <c r="CR13" s="33">
        <v>9</v>
      </c>
      <c r="CS13" s="31" t="e">
        <f t="shared" si="0"/>
        <v>#N/A</v>
      </c>
      <c r="CZ13" s="11">
        <v>10</v>
      </c>
      <c r="DC13" s="26" t="s">
        <v>31</v>
      </c>
      <c r="DD13" s="26" t="s">
        <v>66</v>
      </c>
      <c r="DE13" s="27" t="s">
        <v>67</v>
      </c>
    </row>
    <row r="14" spans="1:109" ht="18.75" customHeight="1" x14ac:dyDescent="0.5">
      <c r="A14" s="12" t="s">
        <v>68</v>
      </c>
      <c r="B14" s="307"/>
      <c r="C14" s="308"/>
      <c r="D14" s="308"/>
      <c r="E14" s="309"/>
      <c r="G14" s="34" t="s">
        <v>69</v>
      </c>
      <c r="H14" s="279"/>
      <c r="I14" s="280"/>
      <c r="J14" s="280"/>
      <c r="K14" s="280"/>
      <c r="L14" s="280"/>
      <c r="M14" s="281"/>
      <c r="N14" s="282"/>
      <c r="O14" s="283"/>
      <c r="P14" s="283"/>
      <c r="Q14" s="283"/>
      <c r="R14" s="284"/>
      <c r="S14" s="285"/>
      <c r="T14" s="286"/>
      <c r="U14" s="287"/>
      <c r="V14" s="17"/>
      <c r="W14" s="288" t="s">
        <v>70</v>
      </c>
      <c r="X14" s="289"/>
      <c r="Y14" s="290"/>
      <c r="Z14" s="279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1"/>
      <c r="AL14" s="291"/>
      <c r="AM14" s="292"/>
      <c r="AN14" s="29"/>
      <c r="AZ14" s="9" t="s">
        <v>272</v>
      </c>
      <c r="BI14" s="207"/>
      <c r="BJ14"/>
      <c r="BK14"/>
      <c r="BL14"/>
      <c r="CN14" s="30">
        <v>10</v>
      </c>
      <c r="CO14" s="31">
        <f t="shared" si="1"/>
        <v>0</v>
      </c>
      <c r="CP14" s="32">
        <f t="shared" si="2"/>
        <v>0</v>
      </c>
      <c r="CQ14" s="32">
        <f t="shared" si="3"/>
        <v>0</v>
      </c>
      <c r="CR14" s="35">
        <v>10</v>
      </c>
      <c r="CS14" s="31" t="e">
        <f t="shared" si="0"/>
        <v>#N/A</v>
      </c>
      <c r="CZ14" s="11">
        <v>11</v>
      </c>
      <c r="DD14" s="26" t="s">
        <v>71</v>
      </c>
      <c r="DE14" s="27" t="s">
        <v>72</v>
      </c>
    </row>
    <row r="15" spans="1:109" ht="18.75" customHeight="1" x14ac:dyDescent="0.5">
      <c r="B15" s="192"/>
      <c r="C15" s="192"/>
      <c r="D15" s="192"/>
      <c r="E15" s="192"/>
      <c r="G15" s="34" t="s">
        <v>73</v>
      </c>
      <c r="H15" s="279"/>
      <c r="I15" s="280"/>
      <c r="J15" s="280"/>
      <c r="K15" s="280"/>
      <c r="L15" s="280"/>
      <c r="M15" s="281"/>
      <c r="N15" s="282"/>
      <c r="O15" s="283"/>
      <c r="P15" s="283"/>
      <c r="Q15" s="283"/>
      <c r="R15" s="284"/>
      <c r="S15" s="285"/>
      <c r="T15" s="286"/>
      <c r="U15" s="287"/>
      <c r="V15" s="17"/>
      <c r="W15" s="288" t="s">
        <v>74</v>
      </c>
      <c r="X15" s="289"/>
      <c r="Y15" s="290"/>
      <c r="Z15" s="279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291"/>
      <c r="AM15" s="292"/>
      <c r="AN15" s="29"/>
      <c r="BI15" s="207" t="s">
        <v>250</v>
      </c>
      <c r="BJ15" t="e">
        <f>BJ10</f>
        <v>#DIV/0!</v>
      </c>
      <c r="BK15" t="e">
        <f>IF(BJ15=3," se ",IF(BJ15=4," s ",IF(BJ15=5," s ",IF(BJ15=6," s ",IF(BJ15=7," se ","")))))</f>
        <v>#DIV/0!</v>
      </c>
      <c r="BL15"/>
      <c r="CN15" s="30">
        <v>11</v>
      </c>
      <c r="CO15" s="31">
        <f t="shared" si="1"/>
        <v>0</v>
      </c>
      <c r="CP15" s="32">
        <f t="shared" si="2"/>
        <v>0</v>
      </c>
      <c r="CQ15" s="32">
        <f>N15</f>
        <v>0</v>
      </c>
      <c r="CR15" s="33">
        <v>11</v>
      </c>
      <c r="CS15" s="31" t="e">
        <f t="shared" si="0"/>
        <v>#N/A</v>
      </c>
      <c r="CZ15" s="11">
        <v>12</v>
      </c>
      <c r="DD15" s="26" t="s">
        <v>39</v>
      </c>
      <c r="DE15" s="27" t="s">
        <v>75</v>
      </c>
    </row>
    <row r="16" spans="1:109" ht="18.75" customHeight="1" x14ac:dyDescent="0.5">
      <c r="B16" s="298" t="s">
        <v>76</v>
      </c>
      <c r="C16" s="299"/>
      <c r="D16" s="299"/>
      <c r="E16" s="300"/>
      <c r="G16" s="34" t="s">
        <v>77</v>
      </c>
      <c r="H16" s="279"/>
      <c r="I16" s="280"/>
      <c r="J16" s="280"/>
      <c r="K16" s="280"/>
      <c r="L16" s="280"/>
      <c r="M16" s="281"/>
      <c r="N16" s="282"/>
      <c r="O16" s="283"/>
      <c r="P16" s="283"/>
      <c r="Q16" s="283"/>
      <c r="R16" s="284"/>
      <c r="S16" s="285"/>
      <c r="T16" s="286"/>
      <c r="U16" s="287"/>
      <c r="V16" s="17"/>
      <c r="W16" s="288" t="s">
        <v>78</v>
      </c>
      <c r="X16" s="289"/>
      <c r="Y16" s="290"/>
      <c r="Z16" s="279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1"/>
      <c r="AL16" s="291"/>
      <c r="AM16" s="292"/>
      <c r="AN16" s="29"/>
      <c r="BI16" s="207" t="s">
        <v>249</v>
      </c>
      <c r="BJ16" t="e">
        <f>BJ15+1</f>
        <v>#DIV/0!</v>
      </c>
      <c r="BK16" t="e">
        <f>IF(BJ16=3," se ",IF(BJ16=4," s ",IF(BJ16=5," s ",IF(BJ16=6," s ",IF(BJ16=7," se ","")))))</f>
        <v>#DIV/0!</v>
      </c>
      <c r="BL16"/>
      <c r="CN16" s="30">
        <v>12</v>
      </c>
      <c r="CO16" s="31">
        <f t="shared" si="1"/>
        <v>0</v>
      </c>
      <c r="CP16" s="32">
        <f t="shared" si="2"/>
        <v>0</v>
      </c>
      <c r="CQ16" s="32">
        <f>N16</f>
        <v>0</v>
      </c>
      <c r="CR16" s="35">
        <v>12</v>
      </c>
      <c r="CS16" s="31" t="e">
        <f t="shared" si="0"/>
        <v>#N/A</v>
      </c>
      <c r="CZ16" s="11">
        <v>13</v>
      </c>
      <c r="DD16" s="26" t="s">
        <v>67</v>
      </c>
      <c r="DE16" s="27" t="s">
        <v>79</v>
      </c>
    </row>
    <row r="17" spans="1:109" ht="18.75" customHeight="1" x14ac:dyDescent="0.5">
      <c r="A17" s="12" t="s">
        <v>80</v>
      </c>
      <c r="B17" s="307" t="s">
        <v>145</v>
      </c>
      <c r="C17" s="308"/>
      <c r="D17" s="308"/>
      <c r="E17" s="309"/>
      <c r="G17" s="34" t="s">
        <v>82</v>
      </c>
      <c r="H17" s="279"/>
      <c r="I17" s="280"/>
      <c r="J17" s="280"/>
      <c r="K17" s="280"/>
      <c r="L17" s="280"/>
      <c r="M17" s="281"/>
      <c r="N17" s="282"/>
      <c r="O17" s="283"/>
      <c r="P17" s="283"/>
      <c r="Q17" s="283"/>
      <c r="R17" s="284"/>
      <c r="S17" s="285"/>
      <c r="T17" s="286"/>
      <c r="U17" s="287"/>
      <c r="V17" s="17"/>
      <c r="W17" s="288" t="s">
        <v>83</v>
      </c>
      <c r="X17" s="289"/>
      <c r="Y17" s="290"/>
      <c r="Z17" s="279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1"/>
      <c r="AL17" s="291"/>
      <c r="AM17" s="292"/>
      <c r="AN17" s="29"/>
      <c r="BI17"/>
      <c r="BJ17"/>
      <c r="BK17"/>
      <c r="BL17"/>
      <c r="CN17" s="30">
        <v>13</v>
      </c>
      <c r="CO17" s="31">
        <f t="shared" si="1"/>
        <v>0</v>
      </c>
      <c r="CP17" s="32">
        <f t="shared" si="2"/>
        <v>0</v>
      </c>
      <c r="CQ17" s="32">
        <f t="shared" si="3"/>
        <v>0</v>
      </c>
      <c r="CR17" s="33">
        <v>13</v>
      </c>
      <c r="CS17" s="31" t="e">
        <f t="shared" si="0"/>
        <v>#N/A</v>
      </c>
      <c r="CZ17" s="11">
        <v>14</v>
      </c>
      <c r="DD17" s="26" t="s">
        <v>84</v>
      </c>
      <c r="DE17" s="27" t="s">
        <v>85</v>
      </c>
    </row>
    <row r="18" spans="1:109" ht="18.75" customHeight="1" x14ac:dyDescent="0.5">
      <c r="G18" s="34" t="s">
        <v>86</v>
      </c>
      <c r="H18" s="279"/>
      <c r="I18" s="280"/>
      <c r="J18" s="280"/>
      <c r="K18" s="280"/>
      <c r="L18" s="280"/>
      <c r="M18" s="281"/>
      <c r="N18" s="282"/>
      <c r="O18" s="283"/>
      <c r="P18" s="283"/>
      <c r="Q18" s="283"/>
      <c r="R18" s="284"/>
      <c r="S18" s="285"/>
      <c r="T18" s="286"/>
      <c r="U18" s="287"/>
      <c r="V18" s="17"/>
      <c r="W18" s="288" t="s">
        <v>87</v>
      </c>
      <c r="X18" s="289"/>
      <c r="Y18" s="290"/>
      <c r="Z18" s="279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1"/>
      <c r="AL18" s="291"/>
      <c r="AM18" s="292"/>
      <c r="AN18" s="29"/>
      <c r="BI18" s="169" t="e">
        <f>IF(AND(BJ5&gt;1,BJ15&lt;3),"Ve skupině musí být minimálně tři hráči! Zvolte míň skupin.",IF(AND(BJ5=1,BJ4&gt;7),"Ve skupině může být maximálně 7 hráčů! Potřebujete více skupin.",IF(AND(BJ16&gt;7,BJ8&gt;0),"Ve skupině může být maximálně 7 hráčů! Potřebujete více skupin.",IF(AND(BJ15&gt;7,BJ16&gt;7),"Ve skupině může být maximálně 7 hráčů! Potřebujete více skupin.",IF(BJ13&gt;0,CONCATENATE("Při ",BJ4," hráčích a ",BJ5," skupinách budou hráči rozděleni do ",BJ12,BK12,BK15,BJ15," hráči a ",BJ13,BK13,BK16,BJ16," hráči."),IF(AND(BJ13=0,BJ5=1),CONCATENATE("Při ",BJ4," hráčích a ",BJ5," skupině budou hráči rozděleni do ",BJ12,BK12,BK15,BJ15," hráči."),IF(BJ13=0,CONCATENATE("Při ",BJ4," hráčích a ",BJ5," skupinách budou hráči rozděleni do ",BJ12,BK12,BK15,BJ15," hráči."))))))))</f>
        <v>#DIV/0!</v>
      </c>
      <c r="BJ18"/>
      <c r="BK18"/>
      <c r="BL18"/>
      <c r="CN18" s="30">
        <v>14</v>
      </c>
      <c r="CO18" s="31">
        <f t="shared" si="1"/>
        <v>0</v>
      </c>
      <c r="CP18" s="32">
        <f t="shared" si="2"/>
        <v>0</v>
      </c>
      <c r="CQ18" s="32">
        <f>N18</f>
        <v>0</v>
      </c>
      <c r="CR18" s="35">
        <v>14</v>
      </c>
      <c r="CS18" s="31" t="e">
        <f t="shared" si="0"/>
        <v>#N/A</v>
      </c>
      <c r="CZ18" s="11">
        <v>15</v>
      </c>
      <c r="DD18" s="26" t="s">
        <v>88</v>
      </c>
      <c r="DE18" s="27" t="s">
        <v>18</v>
      </c>
    </row>
    <row r="19" spans="1:109" ht="18.75" customHeight="1" x14ac:dyDescent="0.5">
      <c r="B19" s="298" t="s">
        <v>89</v>
      </c>
      <c r="C19" s="299"/>
      <c r="D19" s="299"/>
      <c r="E19" s="300"/>
      <c r="G19" s="34" t="s">
        <v>90</v>
      </c>
      <c r="H19" s="279"/>
      <c r="I19" s="280"/>
      <c r="J19" s="280"/>
      <c r="K19" s="280"/>
      <c r="L19" s="280"/>
      <c r="M19" s="281"/>
      <c r="N19" s="282"/>
      <c r="O19" s="283"/>
      <c r="P19" s="283"/>
      <c r="Q19" s="283"/>
      <c r="R19" s="284"/>
      <c r="S19" s="285"/>
      <c r="T19" s="286"/>
      <c r="U19" s="287"/>
      <c r="V19" s="17"/>
      <c r="W19" s="288" t="s">
        <v>91</v>
      </c>
      <c r="X19" s="289"/>
      <c r="Y19" s="290"/>
      <c r="Z19" s="279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1"/>
      <c r="AL19" s="291"/>
      <c r="AM19" s="292"/>
      <c r="AN19" s="29"/>
      <c r="BI19" s="310" t="s">
        <v>253</v>
      </c>
      <c r="BJ19" s="311"/>
      <c r="BK19" s="312"/>
      <c r="BL19" s="44" t="e">
        <f>IF(BJ15&lt;3,1,"")</f>
        <v>#DIV/0!</v>
      </c>
      <c r="BM19" s="22" t="s">
        <v>271</v>
      </c>
      <c r="CN19" s="30">
        <v>15</v>
      </c>
      <c r="CO19" s="31">
        <f t="shared" si="1"/>
        <v>0</v>
      </c>
      <c r="CP19" s="32">
        <f t="shared" si="2"/>
        <v>0</v>
      </c>
      <c r="CQ19" s="32">
        <f t="shared" si="3"/>
        <v>0</v>
      </c>
      <c r="CR19" s="33">
        <v>15</v>
      </c>
      <c r="CS19" s="31" t="e">
        <f t="shared" si="0"/>
        <v>#N/A</v>
      </c>
      <c r="CZ19" s="11">
        <v>16</v>
      </c>
      <c r="DE19" s="27" t="s">
        <v>92</v>
      </c>
    </row>
    <row r="20" spans="1:109" ht="18.75" customHeight="1" x14ac:dyDescent="0.5">
      <c r="B20" s="295" t="str">
        <f>IF(B17="Zadejte typ turnaje","Bez kategorie",IF(B17="Regional ČŠO","III. Kategorie",IF(B17="Open turnaj","IV. Kategorie","")))</f>
        <v>Bez kategorie</v>
      </c>
      <c r="C20" s="296"/>
      <c r="D20" s="296"/>
      <c r="E20" s="297"/>
      <c r="G20" s="34" t="s">
        <v>93</v>
      </c>
      <c r="H20" s="279"/>
      <c r="I20" s="280"/>
      <c r="J20" s="280"/>
      <c r="K20" s="280"/>
      <c r="L20" s="280"/>
      <c r="M20" s="281"/>
      <c r="N20" s="282"/>
      <c r="O20" s="283"/>
      <c r="P20" s="283"/>
      <c r="Q20" s="283"/>
      <c r="R20" s="284"/>
      <c r="S20" s="285"/>
      <c r="T20" s="286"/>
      <c r="U20" s="287"/>
      <c r="V20" s="17"/>
      <c r="W20" s="288" t="s">
        <v>94</v>
      </c>
      <c r="X20" s="289"/>
      <c r="Y20" s="290"/>
      <c r="Z20" s="279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1"/>
      <c r="AL20" s="291"/>
      <c r="AM20" s="292"/>
      <c r="AN20" s="29"/>
      <c r="BI20" s="310" t="s">
        <v>254</v>
      </c>
      <c r="BJ20" s="311"/>
      <c r="BK20" s="312"/>
      <c r="BL20" s="54" t="e">
        <f>IF(AND(BJ16&gt;7,BJ8&gt;0),1,"")</f>
        <v>#DIV/0!</v>
      </c>
      <c r="CN20" s="30">
        <v>16</v>
      </c>
      <c r="CO20" s="31">
        <f t="shared" si="1"/>
        <v>0</v>
      </c>
      <c r="CP20" s="32">
        <f t="shared" si="2"/>
        <v>0</v>
      </c>
      <c r="CQ20" s="32">
        <f t="shared" si="3"/>
        <v>0</v>
      </c>
      <c r="CR20" s="35">
        <v>16</v>
      </c>
      <c r="CS20" s="31" t="e">
        <f t="shared" si="0"/>
        <v>#N/A</v>
      </c>
      <c r="CZ20" s="11">
        <v>17</v>
      </c>
      <c r="DE20" s="27" t="s">
        <v>95</v>
      </c>
    </row>
    <row r="21" spans="1:109" ht="18.75" customHeight="1" x14ac:dyDescent="0.5">
      <c r="G21" s="34" t="s">
        <v>96</v>
      </c>
      <c r="H21" s="279"/>
      <c r="I21" s="280"/>
      <c r="J21" s="280"/>
      <c r="K21" s="280"/>
      <c r="L21" s="280"/>
      <c r="M21" s="281"/>
      <c r="N21" s="282"/>
      <c r="O21" s="283"/>
      <c r="P21" s="283"/>
      <c r="Q21" s="283"/>
      <c r="R21" s="284"/>
      <c r="S21" s="285"/>
      <c r="T21" s="286"/>
      <c r="U21" s="287"/>
      <c r="V21" s="17"/>
      <c r="W21" s="288" t="s">
        <v>97</v>
      </c>
      <c r="X21" s="289"/>
      <c r="Y21" s="290"/>
      <c r="Z21" s="279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1"/>
      <c r="AL21" s="291"/>
      <c r="AM21" s="292"/>
      <c r="AN21" s="29"/>
      <c r="BI21" s="310" t="s">
        <v>255</v>
      </c>
      <c r="BJ21" s="311"/>
      <c r="BK21" s="312"/>
      <c r="BL21" s="54" t="e">
        <f>IF(AND(BJ15&gt;7,BJ16&gt;7),1,"")</f>
        <v>#DIV/0!</v>
      </c>
      <c r="CN21" s="30">
        <v>17</v>
      </c>
      <c r="CO21" s="31">
        <f t="shared" si="1"/>
        <v>0</v>
      </c>
      <c r="CP21" s="32">
        <f t="shared" si="2"/>
        <v>0</v>
      </c>
      <c r="CQ21" s="32">
        <f t="shared" si="3"/>
        <v>0</v>
      </c>
      <c r="CR21" s="33">
        <v>17</v>
      </c>
      <c r="CS21" s="31" t="e">
        <f t="shared" si="0"/>
        <v>#N/A</v>
      </c>
      <c r="CZ21" s="11">
        <v>18</v>
      </c>
      <c r="DE21" s="27" t="s">
        <v>98</v>
      </c>
    </row>
    <row r="22" spans="1:109" ht="18.75" customHeight="1" x14ac:dyDescent="0.5">
      <c r="A22" s="12" t="s">
        <v>146</v>
      </c>
      <c r="B22" s="293" t="s">
        <v>100</v>
      </c>
      <c r="C22" s="313"/>
      <c r="D22" s="294"/>
      <c r="E22" s="224" t="s">
        <v>101</v>
      </c>
      <c r="G22" s="34" t="s">
        <v>102</v>
      </c>
      <c r="H22" s="279"/>
      <c r="I22" s="280"/>
      <c r="J22" s="280"/>
      <c r="K22" s="280"/>
      <c r="L22" s="280"/>
      <c r="M22" s="281"/>
      <c r="N22" s="282"/>
      <c r="O22" s="283"/>
      <c r="P22" s="283"/>
      <c r="Q22" s="283"/>
      <c r="R22" s="284"/>
      <c r="S22" s="285"/>
      <c r="T22" s="286"/>
      <c r="U22" s="287"/>
      <c r="V22" s="17"/>
      <c r="W22" s="288" t="s">
        <v>103</v>
      </c>
      <c r="X22" s="289"/>
      <c r="Y22" s="290"/>
      <c r="Z22" s="279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1"/>
      <c r="AL22" s="291"/>
      <c r="AM22" s="292"/>
      <c r="AN22" s="29"/>
      <c r="BL22" s="54">
        <f>COUNTIF(BL19:BL21,"&gt;0")</f>
        <v>0</v>
      </c>
      <c r="CN22" s="30">
        <v>18</v>
      </c>
      <c r="CO22" s="31">
        <f t="shared" si="1"/>
        <v>0</v>
      </c>
      <c r="CP22" s="32">
        <f t="shared" si="2"/>
        <v>0</v>
      </c>
      <c r="CQ22" s="32">
        <f t="shared" si="3"/>
        <v>0</v>
      </c>
      <c r="CR22" s="35">
        <v>18</v>
      </c>
      <c r="CS22" s="31" t="e">
        <f t="shared" si="0"/>
        <v>#N/A</v>
      </c>
      <c r="CZ22" s="11">
        <v>19</v>
      </c>
      <c r="DE22" s="27" t="s">
        <v>104</v>
      </c>
    </row>
    <row r="23" spans="1:109" ht="18.75" customHeight="1" x14ac:dyDescent="0.5">
      <c r="B23" s="293" t="s">
        <v>105</v>
      </c>
      <c r="C23" s="313"/>
      <c r="D23" s="294"/>
      <c r="E23" s="223">
        <f>I34</f>
        <v>0</v>
      </c>
      <c r="G23" s="34" t="s">
        <v>106</v>
      </c>
      <c r="H23" s="279"/>
      <c r="I23" s="280"/>
      <c r="J23" s="280"/>
      <c r="K23" s="280"/>
      <c r="L23" s="280"/>
      <c r="M23" s="281"/>
      <c r="N23" s="282"/>
      <c r="O23" s="283"/>
      <c r="P23" s="283"/>
      <c r="Q23" s="283"/>
      <c r="R23" s="284"/>
      <c r="S23" s="285"/>
      <c r="T23" s="286"/>
      <c r="U23" s="287"/>
      <c r="V23" s="17"/>
      <c r="W23" s="288" t="s">
        <v>107</v>
      </c>
      <c r="X23" s="289"/>
      <c r="Y23" s="290"/>
      <c r="Z23" s="279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1"/>
      <c r="AL23" s="291"/>
      <c r="AM23" s="292"/>
      <c r="AN23" s="29"/>
      <c r="CN23" s="30">
        <v>19</v>
      </c>
      <c r="CO23" s="31">
        <f t="shared" si="1"/>
        <v>0</v>
      </c>
      <c r="CP23" s="32">
        <f t="shared" si="2"/>
        <v>0</v>
      </c>
      <c r="CQ23" s="32">
        <f t="shared" si="3"/>
        <v>0</v>
      </c>
      <c r="CR23" s="33">
        <v>19</v>
      </c>
      <c r="CS23" s="31" t="e">
        <f t="shared" si="0"/>
        <v>#N/A</v>
      </c>
      <c r="CZ23" s="11">
        <v>20</v>
      </c>
      <c r="DE23" s="27" t="s">
        <v>108</v>
      </c>
    </row>
    <row r="24" spans="1:109" ht="18.75" customHeight="1" x14ac:dyDescent="0.5">
      <c r="B24" s="293" t="s">
        <v>109</v>
      </c>
      <c r="C24" s="313"/>
      <c r="D24" s="294"/>
      <c r="E24" s="225">
        <f>I36</f>
        <v>0</v>
      </c>
      <c r="G24" s="34" t="s">
        <v>110</v>
      </c>
      <c r="H24" s="279"/>
      <c r="I24" s="280"/>
      <c r="J24" s="280"/>
      <c r="K24" s="280"/>
      <c r="L24" s="280"/>
      <c r="M24" s="281"/>
      <c r="N24" s="282"/>
      <c r="O24" s="283"/>
      <c r="P24" s="283"/>
      <c r="Q24" s="283"/>
      <c r="R24" s="284"/>
      <c r="S24" s="285"/>
      <c r="T24" s="286"/>
      <c r="U24" s="287"/>
      <c r="V24" s="17"/>
      <c r="W24" s="288" t="s">
        <v>111</v>
      </c>
      <c r="X24" s="289"/>
      <c r="Y24" s="290"/>
      <c r="Z24" s="279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1"/>
      <c r="AL24" s="291"/>
      <c r="AM24" s="292"/>
      <c r="AN24" s="29"/>
      <c r="CN24" s="30">
        <v>20</v>
      </c>
      <c r="CO24" s="31">
        <f t="shared" si="1"/>
        <v>0</v>
      </c>
      <c r="CP24" s="32">
        <f t="shared" si="2"/>
        <v>0</v>
      </c>
      <c r="CQ24" s="32">
        <f t="shared" si="3"/>
        <v>0</v>
      </c>
      <c r="CR24" s="35">
        <v>20</v>
      </c>
      <c r="CS24" s="31" t="e">
        <f t="shared" si="0"/>
        <v>#N/A</v>
      </c>
      <c r="CZ24" s="11">
        <v>21</v>
      </c>
      <c r="DE24" s="27" t="s">
        <v>112</v>
      </c>
    </row>
    <row r="25" spans="1:109" ht="18.75" customHeight="1" x14ac:dyDescent="0.5">
      <c r="B25" s="293" t="s">
        <v>265</v>
      </c>
      <c r="C25" s="313"/>
      <c r="D25" s="294"/>
      <c r="E25" s="37" t="str">
        <f ca="1">IF(CP61&lt;1,"",RANDBETWEEN($E$24+1,$E$23))</f>
        <v/>
      </c>
      <c r="G25" s="34" t="s">
        <v>113</v>
      </c>
      <c r="H25" s="279"/>
      <c r="I25" s="280"/>
      <c r="J25" s="280"/>
      <c r="K25" s="280"/>
      <c r="L25" s="280"/>
      <c r="M25" s="281"/>
      <c r="N25" s="282"/>
      <c r="O25" s="283"/>
      <c r="P25" s="283"/>
      <c r="Q25" s="283"/>
      <c r="R25" s="284"/>
      <c r="S25" s="285"/>
      <c r="T25" s="286"/>
      <c r="U25" s="287"/>
      <c r="V25" s="17"/>
      <c r="W25" s="288" t="s">
        <v>114</v>
      </c>
      <c r="X25" s="289"/>
      <c r="Y25" s="290"/>
      <c r="Z25" s="279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1"/>
      <c r="AL25" s="291"/>
      <c r="AM25" s="292"/>
      <c r="AN25" s="29"/>
      <c r="CN25" s="30">
        <v>21</v>
      </c>
      <c r="CO25" s="31">
        <f t="shared" si="1"/>
        <v>0</v>
      </c>
      <c r="CP25" s="32">
        <f t="shared" si="2"/>
        <v>0</v>
      </c>
      <c r="CQ25" s="32">
        <f t="shared" si="3"/>
        <v>0</v>
      </c>
      <c r="CR25" s="33">
        <v>21</v>
      </c>
      <c r="CS25" s="31" t="e">
        <f t="shared" si="0"/>
        <v>#N/A</v>
      </c>
    </row>
    <row r="26" spans="1:109" ht="18.75" customHeight="1" x14ac:dyDescent="0.5">
      <c r="B26" s="314" t="str">
        <f>IF(E22="ano",(CONCATENATE("
1. Ve sloupci Los doplňte čísla pořadí u nasazených hráčů (pokud jsou).
", "
2. Ve sloupci Los klikněte do políčka, do kterého chcete vepsat další losované číslo. Následně vygenerujte nové číslo stiskem klávesy F9 a zapište jej. Stiskem Enter se přesunete na další pozici. Pokud je volná a nové číslo lze použít, tak jej zapište.","
3. V případě potřeby tiskněte F9 opakovaně, dokud se nevygeneruje unikátní číslo.","
4. Lze použít i pro určení sudých a lichých počtů hráčů ve skupinách.")),"")</f>
        <v/>
      </c>
      <c r="C26" s="314"/>
      <c r="D26" s="314"/>
      <c r="E26" s="314"/>
      <c r="G26" s="34" t="s">
        <v>115</v>
      </c>
      <c r="H26" s="279"/>
      <c r="I26" s="280"/>
      <c r="J26" s="280"/>
      <c r="K26" s="280"/>
      <c r="L26" s="280"/>
      <c r="M26" s="281"/>
      <c r="N26" s="282"/>
      <c r="O26" s="283"/>
      <c r="P26" s="283"/>
      <c r="Q26" s="283"/>
      <c r="R26" s="284"/>
      <c r="S26" s="285"/>
      <c r="T26" s="286"/>
      <c r="U26" s="287"/>
      <c r="V26" s="17"/>
      <c r="W26" s="288" t="s">
        <v>116</v>
      </c>
      <c r="X26" s="289"/>
      <c r="Y26" s="290"/>
      <c r="Z26" s="279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1"/>
      <c r="AL26" s="291"/>
      <c r="AM26" s="292"/>
      <c r="AN26" s="29"/>
      <c r="AY26" s="38"/>
      <c r="CN26" s="30">
        <v>22</v>
      </c>
      <c r="CO26" s="31">
        <f t="shared" si="1"/>
        <v>0</v>
      </c>
      <c r="CP26" s="32">
        <f t="shared" si="2"/>
        <v>0</v>
      </c>
      <c r="CQ26" s="32">
        <f t="shared" si="3"/>
        <v>0</v>
      </c>
      <c r="CR26" s="35">
        <v>22</v>
      </c>
      <c r="CS26" s="31" t="e">
        <f t="shared" si="0"/>
        <v>#N/A</v>
      </c>
    </row>
    <row r="27" spans="1:109" ht="18.75" customHeight="1" x14ac:dyDescent="0.5">
      <c r="B27" s="315"/>
      <c r="C27" s="315"/>
      <c r="D27" s="315"/>
      <c r="E27" s="315"/>
      <c r="G27" s="34" t="s">
        <v>117</v>
      </c>
      <c r="H27" s="279"/>
      <c r="I27" s="280"/>
      <c r="J27" s="280"/>
      <c r="K27" s="280"/>
      <c r="L27" s="280"/>
      <c r="M27" s="281"/>
      <c r="N27" s="282"/>
      <c r="O27" s="283"/>
      <c r="P27" s="283"/>
      <c r="Q27" s="283"/>
      <c r="R27" s="284"/>
      <c r="S27" s="285"/>
      <c r="T27" s="286"/>
      <c r="U27" s="287"/>
      <c r="V27" s="17"/>
      <c r="W27" s="288" t="s">
        <v>118</v>
      </c>
      <c r="X27" s="289"/>
      <c r="Y27" s="290"/>
      <c r="Z27" s="279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1"/>
      <c r="AL27" s="291"/>
      <c r="AM27" s="292"/>
      <c r="AN27" s="29"/>
      <c r="AY27" s="38"/>
      <c r="AZ27" s="38"/>
      <c r="CN27" s="30">
        <v>23</v>
      </c>
      <c r="CO27" s="31">
        <f t="shared" si="1"/>
        <v>0</v>
      </c>
      <c r="CP27" s="32">
        <f t="shared" si="2"/>
        <v>0</v>
      </c>
      <c r="CQ27" s="32">
        <f t="shared" si="3"/>
        <v>0</v>
      </c>
      <c r="CR27" s="33">
        <v>23</v>
      </c>
      <c r="CS27" s="31" t="e">
        <f t="shared" si="0"/>
        <v>#N/A</v>
      </c>
    </row>
    <row r="28" spans="1:109" ht="18.75" customHeight="1" x14ac:dyDescent="0.5">
      <c r="B28" s="315"/>
      <c r="C28" s="315"/>
      <c r="D28" s="315"/>
      <c r="E28" s="315"/>
      <c r="G28" s="34" t="s">
        <v>119</v>
      </c>
      <c r="H28" s="279"/>
      <c r="I28" s="280"/>
      <c r="J28" s="280"/>
      <c r="K28" s="280"/>
      <c r="L28" s="280"/>
      <c r="M28" s="281"/>
      <c r="N28" s="282"/>
      <c r="O28" s="283"/>
      <c r="P28" s="283"/>
      <c r="Q28" s="283"/>
      <c r="R28" s="284"/>
      <c r="S28" s="285"/>
      <c r="T28" s="286"/>
      <c r="U28" s="287"/>
      <c r="V28" s="17"/>
      <c r="W28" s="288" t="s">
        <v>120</v>
      </c>
      <c r="X28" s="289"/>
      <c r="Y28" s="290"/>
      <c r="Z28" s="279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1"/>
      <c r="AL28" s="291"/>
      <c r="AM28" s="292"/>
      <c r="AN28" s="29"/>
      <c r="AY28" s="38" t="s">
        <v>121</v>
      </c>
      <c r="BG28" s="22"/>
      <c r="BH28" s="22"/>
      <c r="BI28" s="22"/>
      <c r="BO28" s="10"/>
      <c r="BR28" s="9" t="s">
        <v>21</v>
      </c>
      <c r="CN28" s="30">
        <v>24</v>
      </c>
      <c r="CO28" s="31">
        <f t="shared" si="1"/>
        <v>0</v>
      </c>
      <c r="CP28" s="32">
        <f t="shared" si="2"/>
        <v>0</v>
      </c>
      <c r="CQ28" s="32">
        <f t="shared" si="3"/>
        <v>0</v>
      </c>
      <c r="CR28" s="35">
        <v>24</v>
      </c>
      <c r="CS28" s="31" t="e">
        <f t="shared" si="0"/>
        <v>#N/A</v>
      </c>
    </row>
    <row r="29" spans="1:109" ht="18.75" customHeight="1" x14ac:dyDescent="0.5">
      <c r="B29" s="315"/>
      <c r="C29" s="315"/>
      <c r="D29" s="315"/>
      <c r="E29" s="315"/>
      <c r="G29" s="34" t="s">
        <v>122</v>
      </c>
      <c r="H29" s="279"/>
      <c r="I29" s="280"/>
      <c r="J29" s="280"/>
      <c r="K29" s="280"/>
      <c r="L29" s="280"/>
      <c r="M29" s="281"/>
      <c r="N29" s="282"/>
      <c r="O29" s="283"/>
      <c r="P29" s="283"/>
      <c r="Q29" s="283"/>
      <c r="R29" s="284"/>
      <c r="S29" s="285"/>
      <c r="T29" s="286"/>
      <c r="U29" s="287"/>
      <c r="V29" s="17"/>
      <c r="W29" s="288" t="s">
        <v>123</v>
      </c>
      <c r="X29" s="289"/>
      <c r="Y29" s="290"/>
      <c r="Z29" s="279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1"/>
      <c r="AL29" s="291"/>
      <c r="AM29" s="292"/>
      <c r="AN29" s="29"/>
      <c r="AY29" s="38" t="s">
        <v>124</v>
      </c>
      <c r="AZ29" s="38"/>
      <c r="BG29" s="22" t="s">
        <v>282</v>
      </c>
      <c r="BH29" s="22"/>
      <c r="BI29" s="22"/>
      <c r="BO29" s="10" t="s">
        <v>125</v>
      </c>
      <c r="BR29" s="9" t="s">
        <v>29</v>
      </c>
      <c r="CN29" s="30">
        <v>25</v>
      </c>
      <c r="CO29" s="31">
        <f t="shared" si="1"/>
        <v>0</v>
      </c>
      <c r="CP29" s="32">
        <f t="shared" si="2"/>
        <v>0</v>
      </c>
      <c r="CQ29" s="32">
        <f t="shared" si="3"/>
        <v>0</v>
      </c>
      <c r="CR29" s="33">
        <v>25</v>
      </c>
      <c r="CS29" s="31" t="e">
        <f t="shared" si="0"/>
        <v>#N/A</v>
      </c>
    </row>
    <row r="30" spans="1:109" ht="18.75" customHeight="1" x14ac:dyDescent="0.5">
      <c r="B30" s="315"/>
      <c r="C30" s="315"/>
      <c r="D30" s="315"/>
      <c r="E30" s="315"/>
      <c r="G30" s="34" t="s">
        <v>126</v>
      </c>
      <c r="H30" s="279"/>
      <c r="I30" s="280"/>
      <c r="J30" s="280"/>
      <c r="K30" s="280"/>
      <c r="L30" s="280"/>
      <c r="M30" s="281"/>
      <c r="N30" s="282"/>
      <c r="O30" s="283"/>
      <c r="P30" s="283"/>
      <c r="Q30" s="283"/>
      <c r="R30" s="284"/>
      <c r="S30" s="285"/>
      <c r="T30" s="286"/>
      <c r="U30" s="287"/>
      <c r="V30" s="17"/>
      <c r="W30" s="288" t="s">
        <v>127</v>
      </c>
      <c r="X30" s="289"/>
      <c r="Y30" s="290"/>
      <c r="Z30" s="279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/>
      <c r="AL30" s="291"/>
      <c r="AM30" s="292"/>
      <c r="AN30" s="29"/>
      <c r="AY30" s="38" t="s">
        <v>128</v>
      </c>
      <c r="AZ30" s="38"/>
      <c r="BG30" s="221" t="str">
        <f>IF(B17="Zadejte typ turnaje","typ turnaje nezadán",B17)</f>
        <v>typ turnaje nezadán</v>
      </c>
      <c r="BH30" s="218"/>
      <c r="BI30" s="218"/>
      <c r="BJ30" s="219"/>
      <c r="BO30" s="10" t="s">
        <v>115</v>
      </c>
      <c r="BR30" s="9" t="s">
        <v>36</v>
      </c>
      <c r="CN30" s="30">
        <v>26</v>
      </c>
      <c r="CO30" s="31">
        <f t="shared" si="1"/>
        <v>0</v>
      </c>
      <c r="CP30" s="32">
        <f t="shared" si="2"/>
        <v>0</v>
      </c>
      <c r="CQ30" s="32">
        <f t="shared" si="3"/>
        <v>0</v>
      </c>
      <c r="CR30" s="35">
        <v>26</v>
      </c>
      <c r="CS30" s="31" t="e">
        <f>VLOOKUP(CR30,$CO$5:$CP$60,2,0)</f>
        <v>#N/A</v>
      </c>
    </row>
    <row r="31" spans="1:109" ht="18.75" customHeight="1" x14ac:dyDescent="0.5">
      <c r="B31" s="315"/>
      <c r="C31" s="315"/>
      <c r="D31" s="315"/>
      <c r="E31" s="315"/>
      <c r="G31" s="34" t="s">
        <v>129</v>
      </c>
      <c r="H31" s="279"/>
      <c r="I31" s="280"/>
      <c r="J31" s="280"/>
      <c r="K31" s="280"/>
      <c r="L31" s="280"/>
      <c r="M31" s="281"/>
      <c r="N31" s="282"/>
      <c r="O31" s="283"/>
      <c r="P31" s="283"/>
      <c r="Q31" s="283"/>
      <c r="R31" s="284"/>
      <c r="S31" s="285"/>
      <c r="T31" s="286"/>
      <c r="U31" s="287"/>
      <c r="V31" s="17"/>
      <c r="W31" s="288" t="s">
        <v>130</v>
      </c>
      <c r="X31" s="289"/>
      <c r="Y31" s="290"/>
      <c r="Z31" s="279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1"/>
      <c r="AL31" s="291"/>
      <c r="AM31" s="292"/>
      <c r="AN31" s="29"/>
      <c r="AY31" s="38" t="s">
        <v>131</v>
      </c>
      <c r="AZ31" s="38"/>
      <c r="BG31" s="222" t="str">
        <f>IF(B20="Bez kategorie","kategorie turnaje neurčena",B20)</f>
        <v>kategorie turnaje neurčena</v>
      </c>
      <c r="BH31" s="220"/>
      <c r="BI31" s="220"/>
      <c r="BJ31" s="176"/>
      <c r="BO31" s="10" t="s">
        <v>43</v>
      </c>
      <c r="BR31" s="9" t="s">
        <v>5</v>
      </c>
      <c r="CN31" s="30">
        <v>27</v>
      </c>
      <c r="CO31" s="31">
        <f t="shared" si="1"/>
        <v>0</v>
      </c>
      <c r="CP31" s="32">
        <f t="shared" si="2"/>
        <v>0</v>
      </c>
      <c r="CQ31" s="32">
        <f t="shared" si="3"/>
        <v>0</v>
      </c>
      <c r="CR31" s="33">
        <v>27</v>
      </c>
      <c r="CS31" s="31" t="e">
        <f t="shared" si="0"/>
        <v>#N/A</v>
      </c>
    </row>
    <row r="32" spans="1:109" ht="18.75" customHeight="1" x14ac:dyDescent="0.5">
      <c r="B32" s="315"/>
      <c r="C32" s="315"/>
      <c r="D32" s="315"/>
      <c r="E32" s="315"/>
      <c r="G32" s="34" t="s">
        <v>132</v>
      </c>
      <c r="H32" s="279"/>
      <c r="I32" s="280"/>
      <c r="J32" s="280"/>
      <c r="K32" s="280"/>
      <c r="L32" s="280"/>
      <c r="M32" s="281"/>
      <c r="N32" s="282"/>
      <c r="O32" s="283"/>
      <c r="P32" s="283"/>
      <c r="Q32" s="283"/>
      <c r="R32" s="284"/>
      <c r="S32" s="285"/>
      <c r="T32" s="286"/>
      <c r="U32" s="287"/>
      <c r="V32" s="17"/>
      <c r="W32" s="288" t="s">
        <v>133</v>
      </c>
      <c r="X32" s="289"/>
      <c r="Y32" s="290"/>
      <c r="Z32" s="279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1"/>
      <c r="AL32" s="291"/>
      <c r="AM32" s="292"/>
      <c r="AN32" s="29"/>
      <c r="AY32" s="38" t="s">
        <v>134</v>
      </c>
      <c r="AZ32" s="38"/>
      <c r="BG32" s="22"/>
      <c r="BH32" s="22"/>
      <c r="BI32" s="22"/>
      <c r="BO32" s="10" t="s">
        <v>87</v>
      </c>
      <c r="BR32" s="9" t="s">
        <v>7</v>
      </c>
      <c r="CN32" s="30">
        <v>28</v>
      </c>
      <c r="CO32" s="31">
        <f t="shared" si="1"/>
        <v>0</v>
      </c>
      <c r="CP32" s="32">
        <f t="shared" si="2"/>
        <v>0</v>
      </c>
      <c r="CQ32" s="32">
        <f t="shared" si="3"/>
        <v>0</v>
      </c>
      <c r="CR32" s="35">
        <v>28</v>
      </c>
      <c r="CS32" s="31" t="e">
        <f t="shared" si="0"/>
        <v>#N/A</v>
      </c>
    </row>
    <row r="33" spans="1:119" s="6" customFormat="1" ht="49" customHeight="1" x14ac:dyDescent="0.5">
      <c r="B33" s="315"/>
      <c r="C33" s="315"/>
      <c r="D33" s="315"/>
      <c r="E33" s="315"/>
      <c r="G33" s="2"/>
      <c r="H33" s="316" t="str">
        <f>IF(CP61&gt;4,CONCATENATE("Nasazuje se čtvrtina hráčů z nejbližšího plného herního plánu. 
Při ",CP61," přihlášených ",CS61),"")</f>
        <v/>
      </c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P33" s="7"/>
      <c r="AQ33" s="8"/>
      <c r="AR33" s="8"/>
      <c r="AS33" s="40"/>
      <c r="AT33" s="41"/>
      <c r="AU33" s="10"/>
      <c r="AV33" s="10"/>
      <c r="AW33" s="10"/>
      <c r="AX33" s="10"/>
      <c r="AY33" s="38" t="s">
        <v>135</v>
      </c>
      <c r="AZ33" s="38"/>
      <c r="BA33" s="9"/>
      <c r="BB33" s="9"/>
      <c r="BC33" s="9"/>
      <c r="BD33" s="9"/>
      <c r="BE33" s="9"/>
      <c r="BF33" s="9"/>
      <c r="BG33" s="42"/>
      <c r="BH33" s="42"/>
      <c r="BI33" s="42"/>
      <c r="BJ33" s="40"/>
      <c r="BK33" s="40"/>
      <c r="BL33" s="40"/>
      <c r="BM33" s="40"/>
      <c r="BN33" s="40"/>
      <c r="BO33" s="41" t="s">
        <v>45</v>
      </c>
      <c r="BP33" s="41"/>
      <c r="BQ33" s="40"/>
      <c r="BR33" s="40" t="s">
        <v>64</v>
      </c>
      <c r="BS33" s="40"/>
      <c r="BT33" s="40"/>
      <c r="BU33" s="40"/>
      <c r="BV33" s="40"/>
      <c r="BW33" s="40"/>
      <c r="BX33" s="40"/>
      <c r="BY33" s="40"/>
      <c r="BZ33" s="40"/>
      <c r="CA33" s="8"/>
      <c r="CB33" s="41"/>
      <c r="CC33" s="41"/>
      <c r="CD33" s="41"/>
      <c r="CE33" s="40"/>
      <c r="CF33" s="40"/>
      <c r="CG33" s="40"/>
      <c r="CH33" s="40"/>
      <c r="CI33" s="40"/>
      <c r="CJ33" s="40"/>
      <c r="CK33" s="8"/>
      <c r="CM33" s="43"/>
      <c r="CN33" s="30">
        <v>29</v>
      </c>
      <c r="CO33" s="44">
        <f>AN5</f>
        <v>0</v>
      </c>
      <c r="CP33" s="27">
        <f>Z5</f>
        <v>0</v>
      </c>
      <c r="CQ33" s="32">
        <f>AL5</f>
        <v>0</v>
      </c>
      <c r="CR33" s="33">
        <v>29</v>
      </c>
      <c r="CS33" s="31" t="e">
        <f>VLOOKUP(CR33,$CO$5:$CP$60,2,0)</f>
        <v>#N/A</v>
      </c>
      <c r="CT33" s="43"/>
      <c r="CU33" s="45"/>
      <c r="CV33" s="45"/>
      <c r="CW33" s="45"/>
      <c r="CX33" s="45"/>
      <c r="CY33" s="45"/>
      <c r="CZ33" s="45"/>
      <c r="DA33" s="45"/>
    </row>
    <row r="34" spans="1:119" s="46" customFormat="1" ht="27" customHeight="1" x14ac:dyDescent="0.4">
      <c r="B34" s="315"/>
      <c r="C34" s="315"/>
      <c r="D34" s="315"/>
      <c r="E34" s="315"/>
      <c r="G34" s="47"/>
      <c r="H34" s="48" t="s">
        <v>136</v>
      </c>
      <c r="I34" s="317">
        <f>CP61</f>
        <v>0</v>
      </c>
      <c r="J34" s="318"/>
      <c r="K34" s="318"/>
      <c r="L34" s="31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H34" s="50"/>
      <c r="AI34" s="51"/>
      <c r="AJ34" s="51"/>
      <c r="AK34" s="52"/>
      <c r="AL34" s="53"/>
      <c r="AM34" s="53"/>
      <c r="AN34" s="53"/>
      <c r="AO34" s="53"/>
      <c r="AP34" s="53"/>
      <c r="AQ34" s="53"/>
      <c r="AR34" s="53"/>
      <c r="AS34" s="53"/>
      <c r="AT34" s="53"/>
      <c r="AU34" s="10"/>
      <c r="AV34" s="54">
        <v>0</v>
      </c>
      <c r="AW34" s="10"/>
      <c r="AX34" s="10"/>
      <c r="AY34" s="38" t="s">
        <v>137</v>
      </c>
      <c r="AZ34" s="38"/>
      <c r="BA34" s="9"/>
      <c r="BB34" s="9"/>
      <c r="BC34" s="9"/>
      <c r="BD34" s="9"/>
      <c r="BE34" s="9"/>
      <c r="BF34" s="9"/>
      <c r="BG34" s="38"/>
      <c r="BH34" s="38"/>
      <c r="BI34" s="38"/>
      <c r="BJ34" s="52"/>
      <c r="BK34" s="52"/>
      <c r="BL34" s="52"/>
      <c r="BM34" s="52"/>
      <c r="BN34" s="52"/>
      <c r="BO34" s="53" t="s">
        <v>119</v>
      </c>
      <c r="BP34" s="53"/>
      <c r="BQ34" s="52"/>
      <c r="BR34" s="52" t="s">
        <v>73</v>
      </c>
      <c r="BS34" s="52"/>
      <c r="BT34" s="52"/>
      <c r="BU34" s="52"/>
      <c r="BV34" s="52"/>
      <c r="BW34" s="52"/>
      <c r="BX34" s="52"/>
      <c r="BY34" s="52"/>
      <c r="BZ34" s="52"/>
      <c r="CA34" s="51"/>
      <c r="CB34" s="53"/>
      <c r="CC34" s="53"/>
      <c r="CD34" s="53"/>
      <c r="CE34" s="52"/>
      <c r="CF34" s="52"/>
      <c r="CG34" s="52"/>
      <c r="CH34" s="52"/>
      <c r="CI34" s="52"/>
      <c r="CJ34" s="52"/>
      <c r="CK34" s="51"/>
      <c r="CM34" s="55"/>
      <c r="CN34" s="30">
        <v>30</v>
      </c>
      <c r="CO34" s="44">
        <f t="shared" ref="CO34:CO60" si="4">AN6</f>
        <v>0</v>
      </c>
      <c r="CP34" s="27">
        <f t="shared" ref="CP34:CP60" si="5">Z6</f>
        <v>0</v>
      </c>
      <c r="CQ34" s="32">
        <f t="shared" ref="CQ34:CQ60" si="6">AL6</f>
        <v>0</v>
      </c>
      <c r="CR34" s="35">
        <v>30</v>
      </c>
      <c r="CS34" s="31" t="e">
        <f t="shared" si="0"/>
        <v>#N/A</v>
      </c>
      <c r="CT34" s="55"/>
      <c r="CU34" s="56"/>
      <c r="CV34" s="56"/>
      <c r="CW34" s="56"/>
      <c r="CX34" s="56"/>
      <c r="CY34" s="56"/>
      <c r="CZ34" s="56"/>
      <c r="DA34" s="56"/>
    </row>
    <row r="35" spans="1:119" s="46" customFormat="1" ht="8.25" customHeight="1" x14ac:dyDescent="0.55000000000000004">
      <c r="B35" s="315"/>
      <c r="C35" s="315"/>
      <c r="D35" s="315"/>
      <c r="E35" s="315"/>
      <c r="G35" s="47"/>
      <c r="H35" s="57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P35" s="50"/>
      <c r="AQ35" s="51"/>
      <c r="AR35" s="51"/>
      <c r="AS35" s="52"/>
      <c r="AT35" s="53"/>
      <c r="AU35" s="41"/>
      <c r="AV35" s="58">
        <v>1</v>
      </c>
      <c r="AW35" s="41"/>
      <c r="AX35" s="58">
        <v>0</v>
      </c>
      <c r="AY35" s="59" t="s">
        <v>138</v>
      </c>
      <c r="AZ35" s="59"/>
      <c r="BA35" s="40"/>
      <c r="BB35" s="40"/>
      <c r="BC35" s="40"/>
      <c r="BD35" s="40"/>
      <c r="BE35" s="40"/>
      <c r="BF35" s="40"/>
      <c r="BG35" s="38"/>
      <c r="BH35" s="38"/>
      <c r="BI35" s="38"/>
      <c r="BJ35" s="52"/>
      <c r="BK35" s="52"/>
      <c r="BL35" s="52"/>
      <c r="BM35" s="52"/>
      <c r="BN35" s="52"/>
      <c r="BO35" s="53" t="s">
        <v>50</v>
      </c>
      <c r="BP35" s="53"/>
      <c r="BQ35" s="52"/>
      <c r="BR35" s="52" t="s">
        <v>82</v>
      </c>
      <c r="BS35" s="52"/>
      <c r="BT35" s="52"/>
      <c r="BU35" s="52"/>
      <c r="BV35" s="52"/>
      <c r="BW35" s="52"/>
      <c r="BX35" s="52"/>
      <c r="BY35" s="52"/>
      <c r="BZ35" s="52"/>
      <c r="CA35" s="51"/>
      <c r="CB35" s="53"/>
      <c r="CC35" s="53"/>
      <c r="CD35" s="53"/>
      <c r="CE35" s="52"/>
      <c r="CF35" s="52"/>
      <c r="CG35" s="52"/>
      <c r="CH35" s="52"/>
      <c r="CI35" s="52"/>
      <c r="CJ35" s="52"/>
      <c r="CK35" s="51"/>
      <c r="CM35" s="55"/>
      <c r="CN35" s="30">
        <v>31</v>
      </c>
      <c r="CO35" s="44">
        <f t="shared" si="4"/>
        <v>0</v>
      </c>
      <c r="CP35" s="27">
        <f t="shared" si="5"/>
        <v>0</v>
      </c>
      <c r="CQ35" s="32">
        <f t="shared" si="6"/>
        <v>0</v>
      </c>
      <c r="CR35" s="33">
        <v>31</v>
      </c>
      <c r="CS35" s="31" t="e">
        <f t="shared" si="0"/>
        <v>#N/A</v>
      </c>
      <c r="CT35" s="55"/>
      <c r="CU35" s="56"/>
      <c r="CV35" s="56"/>
      <c r="CW35" s="56"/>
      <c r="CX35" s="56"/>
      <c r="CY35" s="56"/>
      <c r="CZ35" s="56"/>
      <c r="DA35" s="56"/>
    </row>
    <row r="36" spans="1:119" s="46" customFormat="1" ht="27" customHeight="1" x14ac:dyDescent="0.4">
      <c r="B36" s="315"/>
      <c r="C36" s="315"/>
      <c r="D36" s="315"/>
      <c r="E36" s="315"/>
      <c r="G36" s="12" t="s">
        <v>99</v>
      </c>
      <c r="H36" s="48" t="s">
        <v>139</v>
      </c>
      <c r="I36" s="320">
        <v>0</v>
      </c>
      <c r="J36" s="321"/>
      <c r="K36" s="321"/>
      <c r="L36" s="322"/>
      <c r="M36" s="49"/>
      <c r="N36" s="49"/>
      <c r="O36" s="193" t="str">
        <f>IF(AND(I38=1),"Pokud se hraje jen 1 skupina, tak na určení počtu nasazených hráčů nezáleží. ",IF(AND(I38=2),"Při 2 skupinách systém zohlední, pokud jsou nasazeni 4 hráči.",IF(AND(I38=3),"Při 3 skupinách systém zohlední, pokud jsou nasazeni 4 hráči.",IF(AND(I38=4),"Při 4 skupinách systém zohlední, pokud je nasazeno 8 hráčů.",IF(AND(I38=6),"Při 6 skupinách systém zohlední, pokud je nasazeno 8 hráčů.",IF(AND(I38=8),"Při 8 skupinách systém zohlední, pokud je nasazeno 16 hráčů.",""))))))</f>
        <v/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H36" s="50"/>
      <c r="AI36" s="51"/>
      <c r="AJ36" s="51"/>
      <c r="AK36" s="52"/>
      <c r="AL36" s="53"/>
      <c r="AM36" s="53"/>
      <c r="AN36" s="53"/>
      <c r="AO36" s="53"/>
      <c r="AP36" s="53"/>
      <c r="AQ36" s="53"/>
      <c r="AR36" s="53"/>
      <c r="AS36" s="53"/>
      <c r="AT36" s="53"/>
      <c r="AU36" s="60">
        <v>0</v>
      </c>
      <c r="AV36" s="61">
        <v>2</v>
      </c>
      <c r="AW36" s="53"/>
      <c r="AX36" s="60">
        <v>3</v>
      </c>
      <c r="AY36" s="38" t="s">
        <v>140</v>
      </c>
      <c r="AZ36" s="52"/>
      <c r="BA36" s="52"/>
      <c r="BB36" s="52"/>
      <c r="BC36" s="52"/>
      <c r="BD36" s="52"/>
      <c r="BE36" s="52"/>
      <c r="BF36" s="52"/>
      <c r="BG36" s="38"/>
      <c r="BH36" s="38"/>
      <c r="BI36" s="38"/>
      <c r="BJ36" s="52"/>
      <c r="BK36" s="52"/>
      <c r="BL36" s="52" t="s">
        <v>141</v>
      </c>
      <c r="BM36" s="52"/>
      <c r="BN36" s="52"/>
      <c r="BO36" s="53" t="s">
        <v>94</v>
      </c>
      <c r="BP36" s="53"/>
      <c r="BQ36" s="52" t="s">
        <v>142</v>
      </c>
      <c r="BR36" s="52" t="s">
        <v>90</v>
      </c>
      <c r="BS36" s="52"/>
      <c r="BT36" s="52"/>
      <c r="BU36" s="52"/>
      <c r="BV36" s="52"/>
      <c r="BW36" s="52"/>
      <c r="BX36" s="52" t="s">
        <v>143</v>
      </c>
      <c r="BY36" s="52"/>
      <c r="BZ36" s="52"/>
      <c r="CA36" s="51"/>
      <c r="CB36" s="53"/>
      <c r="CC36" s="53"/>
      <c r="CD36" s="53"/>
      <c r="CE36" s="52"/>
      <c r="CF36" s="52"/>
      <c r="CG36" s="52"/>
      <c r="CH36" s="52"/>
      <c r="CI36" s="52"/>
      <c r="CJ36" s="52"/>
      <c r="CK36" s="51"/>
      <c r="CM36" s="55"/>
      <c r="CN36" s="30">
        <v>32</v>
      </c>
      <c r="CO36" s="44">
        <f t="shared" si="4"/>
        <v>0</v>
      </c>
      <c r="CP36" s="27">
        <f t="shared" si="5"/>
        <v>0</v>
      </c>
      <c r="CQ36" s="32">
        <f t="shared" si="6"/>
        <v>0</v>
      </c>
      <c r="CR36" s="35">
        <v>32</v>
      </c>
      <c r="CS36" s="31" t="e">
        <f t="shared" si="0"/>
        <v>#N/A</v>
      </c>
      <c r="CT36" s="55"/>
      <c r="CU36" s="56"/>
      <c r="CV36" s="62"/>
      <c r="CW36" s="56"/>
      <c r="CX36" s="56"/>
      <c r="CY36" s="56"/>
      <c r="CZ36" s="56"/>
      <c r="DA36" s="56"/>
    </row>
    <row r="37" spans="1:119" s="46" customFormat="1" ht="8.25" customHeight="1" x14ac:dyDescent="0.4">
      <c r="B37" s="315"/>
      <c r="C37" s="315"/>
      <c r="D37" s="315"/>
      <c r="E37" s="315"/>
      <c r="G37" s="47"/>
      <c r="H37" s="57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P37" s="50"/>
      <c r="AQ37" s="51"/>
      <c r="AR37" s="51"/>
      <c r="AS37" s="52"/>
      <c r="AT37" s="53"/>
      <c r="AU37" s="60">
        <v>2</v>
      </c>
      <c r="AV37" s="60">
        <v>3</v>
      </c>
      <c r="AW37" s="53"/>
      <c r="AX37" s="60">
        <v>4</v>
      </c>
      <c r="AY37" s="38" t="s">
        <v>144</v>
      </c>
      <c r="AZ37" s="52"/>
      <c r="BA37" s="52"/>
      <c r="BB37" s="52"/>
      <c r="BC37" s="52"/>
      <c r="BD37" s="52"/>
      <c r="BE37" s="52"/>
      <c r="BF37" s="52"/>
      <c r="BG37" s="38" t="s">
        <v>145</v>
      </c>
      <c r="BH37" s="38"/>
      <c r="BI37" s="38"/>
      <c r="BJ37" s="52"/>
      <c r="BK37" s="52"/>
      <c r="BL37" s="52"/>
      <c r="BM37" s="52"/>
      <c r="BN37" s="52"/>
      <c r="BO37" s="53" t="s">
        <v>60</v>
      </c>
      <c r="BP37" s="53"/>
      <c r="BQ37" s="52"/>
      <c r="BR37" s="52" t="s">
        <v>96</v>
      </c>
      <c r="BS37" s="52"/>
      <c r="BT37" s="52"/>
      <c r="BU37" s="52"/>
      <c r="BV37" s="52"/>
      <c r="BW37" s="52"/>
      <c r="BX37" s="52"/>
      <c r="BY37" s="52"/>
      <c r="BZ37" s="52"/>
      <c r="CA37" s="51"/>
      <c r="CB37" s="53"/>
      <c r="CC37" s="53"/>
      <c r="CD37" s="53"/>
      <c r="CE37" s="52"/>
      <c r="CF37" s="52"/>
      <c r="CG37" s="52"/>
      <c r="CH37" s="52"/>
      <c r="CI37" s="52"/>
      <c r="CJ37" s="52"/>
      <c r="CK37" s="51"/>
      <c r="CM37" s="55"/>
      <c r="CN37" s="30">
        <v>33</v>
      </c>
      <c r="CO37" s="44">
        <f t="shared" si="4"/>
        <v>0</v>
      </c>
      <c r="CP37" s="27">
        <f t="shared" si="5"/>
        <v>0</v>
      </c>
      <c r="CQ37" s="32">
        <f t="shared" si="6"/>
        <v>0</v>
      </c>
      <c r="CR37" s="33">
        <v>33</v>
      </c>
      <c r="CS37" s="31" t="e">
        <f t="shared" si="0"/>
        <v>#N/A</v>
      </c>
      <c r="CT37" s="43"/>
      <c r="CU37" s="56"/>
      <c r="CV37" s="56"/>
      <c r="CW37" s="56"/>
      <c r="CX37" s="56"/>
      <c r="CY37" s="56"/>
      <c r="CZ37" s="56"/>
      <c r="DA37" s="56"/>
    </row>
    <row r="38" spans="1:119" s="46" customFormat="1" ht="27" customHeight="1" x14ac:dyDescent="0.4">
      <c r="B38" s="315"/>
      <c r="C38" s="315"/>
      <c r="D38" s="315"/>
      <c r="E38" s="315"/>
      <c r="G38" s="12" t="s">
        <v>152</v>
      </c>
      <c r="H38" s="48" t="s">
        <v>147</v>
      </c>
      <c r="I38" s="320">
        <v>0</v>
      </c>
      <c r="J38" s="321"/>
      <c r="K38" s="321"/>
      <c r="L38" s="322"/>
      <c r="M38" s="49"/>
      <c r="N38" s="49"/>
      <c r="O38" s="193" t="str">
        <f>IF(AND(I38=1,CP61&lt;4),"Při jedné skupině jsou požadováni alespoň 4 hráči!",IF(I38=3,"Při 3 skupinách nelze do Stedaru korektně zadat více jak 15 hráčů.",IF(I38=6,"Při 6 skupinách nelze do Stedaru korektně zadat více jak 30 hráčů.","")))</f>
        <v/>
      </c>
      <c r="P38" s="193"/>
      <c r="Q38" s="193"/>
      <c r="R38" s="193"/>
      <c r="S38" s="193"/>
      <c r="T38" s="193"/>
      <c r="U38" s="194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52"/>
      <c r="AP38" s="52"/>
      <c r="AQ38" s="52"/>
      <c r="AR38" s="52"/>
      <c r="AS38" s="52"/>
      <c r="AT38" s="53"/>
      <c r="AU38" s="60">
        <v>4</v>
      </c>
      <c r="AV38" s="60">
        <v>4</v>
      </c>
      <c r="AW38" s="53"/>
      <c r="AX38" s="60">
        <v>5</v>
      </c>
      <c r="AY38" s="38" t="s">
        <v>148</v>
      </c>
      <c r="AZ38" s="52"/>
      <c r="BA38" s="52"/>
      <c r="BB38" s="52"/>
      <c r="BC38" s="52"/>
      <c r="BD38" s="52"/>
      <c r="BE38" s="52"/>
      <c r="BF38" s="52"/>
      <c r="BG38" s="22" t="s">
        <v>81</v>
      </c>
      <c r="BH38" s="22"/>
      <c r="BI38" s="22"/>
      <c r="BJ38" s="9"/>
      <c r="BK38" s="9"/>
      <c r="BL38" s="54">
        <f>IF(B20="Bez kategorie",1,IF(B20="III. Kategorie",3,IF(B20="IV. Kategorie",4,"")))</f>
        <v>1</v>
      </c>
      <c r="BM38" s="22"/>
      <c r="BN38" s="9"/>
      <c r="BO38" s="10" t="s">
        <v>132</v>
      </c>
      <c r="BP38" s="10"/>
      <c r="BQ38" s="60" t="b">
        <f>IF(I53=AY29,BO29,IF(I53=AY30,BO30,IF(I53=AY31,BO31,IF(I53=AY32,BO32,IF(I53=AY33,BO33,IF(I53=AY34,BO34,IF(I53=AY35,BO35,IF(I53=AY36,BO36,IF(I53=AY37,BO37,IF(I53=AY38,BO38,IF(I53=AY39,BO39,IF(I53=AY40,BO40))))))))))))</f>
        <v>0</v>
      </c>
      <c r="BR38" s="52" t="s">
        <v>113</v>
      </c>
      <c r="BS38" s="53" t="s">
        <v>115</v>
      </c>
      <c r="BT38" s="60">
        <f>IF(I38=0,0,IF(I38=1,1,IF(I38=2,2,IF(I38=3,3,IF(I38=4,4,IF(I38=6,6,IF(I38=8,8,"")))))))</f>
        <v>0</v>
      </c>
      <c r="BU38" s="52"/>
      <c r="BV38" s="52" t="s">
        <v>149</v>
      </c>
      <c r="BW38" s="52"/>
      <c r="BX38" s="52"/>
      <c r="BY38" s="52"/>
      <c r="BZ38" s="52"/>
      <c r="CA38" s="51"/>
      <c r="CB38" s="53"/>
      <c r="CC38" s="53"/>
      <c r="CD38" s="53"/>
      <c r="CE38" s="52"/>
      <c r="CF38" s="52"/>
      <c r="CG38" s="52"/>
      <c r="CH38" s="52"/>
      <c r="CI38" s="52"/>
      <c r="CJ38" s="52"/>
      <c r="CK38" s="51"/>
      <c r="CM38" s="55"/>
      <c r="CN38" s="30">
        <v>34</v>
      </c>
      <c r="CO38" s="44">
        <f t="shared" si="4"/>
        <v>0</v>
      </c>
      <c r="CP38" s="27">
        <f t="shared" si="5"/>
        <v>0</v>
      </c>
      <c r="CQ38" s="32">
        <f t="shared" si="6"/>
        <v>0</v>
      </c>
      <c r="CR38" s="35">
        <v>34</v>
      </c>
      <c r="CS38" s="31" t="e">
        <f t="shared" si="0"/>
        <v>#N/A</v>
      </c>
      <c r="CT38" s="43"/>
      <c r="CU38" s="56"/>
      <c r="CV38" s="62"/>
      <c r="CW38" s="56"/>
      <c r="CX38" s="56"/>
      <c r="CY38" s="56"/>
      <c r="CZ38" s="56"/>
      <c r="DA38" s="56"/>
    </row>
    <row r="39" spans="1:119" s="6" customFormat="1" ht="8.25" customHeight="1" x14ac:dyDescent="0.55000000000000004">
      <c r="B39" s="315"/>
      <c r="C39" s="315"/>
      <c r="D39" s="315"/>
      <c r="E39" s="315"/>
      <c r="G39" s="2"/>
      <c r="H39" s="6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P39" s="7"/>
      <c r="AQ39" s="8"/>
      <c r="AR39" s="8"/>
      <c r="AS39" s="9"/>
      <c r="AT39" s="10"/>
      <c r="AU39" s="54">
        <v>8</v>
      </c>
      <c r="AV39" s="54">
        <v>6</v>
      </c>
      <c r="AW39" s="64" t="s">
        <v>101</v>
      </c>
      <c r="AX39" s="54">
        <v>6</v>
      </c>
      <c r="AY39" s="38" t="s">
        <v>150</v>
      </c>
      <c r="AZ39" s="9"/>
      <c r="BA39" s="9"/>
      <c r="BB39" s="9"/>
      <c r="BC39" s="9"/>
      <c r="BD39" s="9"/>
      <c r="BE39" s="9"/>
      <c r="BF39" s="9"/>
      <c r="BG39" s="22" t="s">
        <v>151</v>
      </c>
      <c r="BH39" s="22"/>
      <c r="BI39" s="22"/>
      <c r="BJ39" s="9"/>
      <c r="BK39" s="9"/>
      <c r="BL39" s="9"/>
      <c r="BM39" s="22"/>
      <c r="BN39" s="9"/>
      <c r="BO39" s="10" t="s">
        <v>70</v>
      </c>
      <c r="BP39" s="10"/>
      <c r="BQ39" s="9"/>
      <c r="BR39" s="9" t="s">
        <v>122</v>
      </c>
      <c r="BS39" s="9"/>
      <c r="BT39" s="9"/>
      <c r="BU39" s="9"/>
      <c r="BV39" s="9"/>
      <c r="BW39" s="9"/>
      <c r="BX39" s="9"/>
      <c r="BY39" s="9"/>
      <c r="BZ39" s="9"/>
      <c r="CA39" s="8"/>
      <c r="CB39" s="10"/>
      <c r="CC39" s="10"/>
      <c r="CD39" s="10"/>
      <c r="CE39" s="9"/>
      <c r="CF39" s="9"/>
      <c r="CG39" s="9"/>
      <c r="CH39" s="9"/>
      <c r="CI39" s="9"/>
      <c r="CJ39" s="9"/>
      <c r="CK39" s="8"/>
      <c r="CM39" s="43"/>
      <c r="CN39" s="30">
        <v>35</v>
      </c>
      <c r="CO39" s="44">
        <f t="shared" si="4"/>
        <v>0</v>
      </c>
      <c r="CP39" s="27">
        <f t="shared" si="5"/>
        <v>0</v>
      </c>
      <c r="CQ39" s="32">
        <f t="shared" si="6"/>
        <v>0</v>
      </c>
      <c r="CR39" s="33">
        <v>35</v>
      </c>
      <c r="CS39" s="31" t="e">
        <f t="shared" si="0"/>
        <v>#N/A</v>
      </c>
      <c r="CT39" s="43"/>
      <c r="CU39" s="45"/>
      <c r="CV39" s="45"/>
      <c r="CW39" s="45"/>
      <c r="CX39" s="45"/>
      <c r="CY39" s="65"/>
      <c r="CZ39" s="65"/>
      <c r="DA39" s="45"/>
    </row>
    <row r="40" spans="1:119" s="6" customFormat="1" ht="27" customHeight="1" x14ac:dyDescent="0.55000000000000004">
      <c r="B40" s="315"/>
      <c r="C40" s="315"/>
      <c r="D40" s="315"/>
      <c r="E40" s="315"/>
      <c r="G40" s="12" t="s">
        <v>168</v>
      </c>
      <c r="H40" s="66" t="s">
        <v>153</v>
      </c>
      <c r="I40" s="67" t="s">
        <v>154</v>
      </c>
      <c r="J40" s="320">
        <v>0</v>
      </c>
      <c r="K40" s="321"/>
      <c r="L40" s="322"/>
      <c r="M40" s="1"/>
      <c r="N40" s="323" t="s">
        <v>155</v>
      </c>
      <c r="O40" s="324"/>
      <c r="P40" s="325"/>
      <c r="Q40" s="320">
        <v>0</v>
      </c>
      <c r="R40" s="321"/>
      <c r="S40" s="322"/>
      <c r="T40" s="1"/>
      <c r="U40" s="1"/>
      <c r="V40" s="326" t="e">
        <f>IF(BV11=0,"Nesprávné počty hráčů ve skupinách.","")</f>
        <v>#DIV/0!</v>
      </c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P40" s="7"/>
      <c r="AQ40" s="8"/>
      <c r="AR40" s="8"/>
      <c r="AS40" s="9"/>
      <c r="AT40" s="10"/>
      <c r="AU40" s="54">
        <v>16</v>
      </c>
      <c r="AV40" s="54">
        <v>8</v>
      </c>
      <c r="AW40" s="64" t="s">
        <v>156</v>
      </c>
      <c r="AX40" s="54">
        <v>7</v>
      </c>
      <c r="AY40" s="38" t="s">
        <v>157</v>
      </c>
      <c r="AZ40" s="9"/>
      <c r="BA40" s="9"/>
      <c r="BB40" s="9"/>
      <c r="BC40" s="9"/>
      <c r="BD40" s="9"/>
      <c r="BE40" s="9"/>
      <c r="BF40" s="9"/>
      <c r="BG40" s="22" t="s">
        <v>158</v>
      </c>
      <c r="BH40" s="22"/>
      <c r="BI40" s="22"/>
      <c r="BJ40" s="9"/>
      <c r="BK40" s="9"/>
      <c r="BL40" s="9"/>
      <c r="BM40" s="22"/>
      <c r="BN40" s="9"/>
      <c r="BO40" s="10" t="s">
        <v>111</v>
      </c>
      <c r="BP40" s="10"/>
      <c r="BQ40" s="60">
        <f>BQ38*1</f>
        <v>0</v>
      </c>
      <c r="BR40" s="9" t="s">
        <v>22</v>
      </c>
      <c r="BS40" s="9"/>
      <c r="BT40" s="60">
        <f>IF(I53=AY28,0,IF(I53=AY29,1,IF(I53=AY30,2,IF(I53=AY31,2,IF(I53=AY32,2,IF(I53=AY33,3,IF(I53=AY34,4,IF(I53=AY35,4,IF(I53=AY36,4,IF(I53=AY37,6,IF(I53=AY38,8,IF(I53=AY39,8,IF(I53=AY40,8,"")))))))))))))</f>
        <v>0</v>
      </c>
      <c r="BU40" s="9"/>
      <c r="BV40" s="54" t="str">
        <f>IF(J40=3,3,IF(J42=3,3,IF(J44=3,3,IF(J46=3,3,""))))</f>
        <v/>
      </c>
      <c r="BW40" s="10"/>
      <c r="BX40" s="54" t="str">
        <f>IF(I53=AY36,1,IF(I53=AY32,1,""))</f>
        <v/>
      </c>
      <c r="BY40" s="9"/>
      <c r="BZ40" s="9"/>
      <c r="CA40" s="8"/>
      <c r="CB40" s="10"/>
      <c r="CC40" s="10"/>
      <c r="CD40" s="10"/>
      <c r="CE40" s="9"/>
      <c r="CF40" s="9"/>
      <c r="CG40" s="9"/>
      <c r="CH40" s="9"/>
      <c r="CI40" s="9"/>
      <c r="CJ40" s="9"/>
      <c r="CK40" s="8"/>
      <c r="CM40" s="43"/>
      <c r="CN40" s="30">
        <v>36</v>
      </c>
      <c r="CO40" s="44">
        <f t="shared" si="4"/>
        <v>0</v>
      </c>
      <c r="CP40" s="27">
        <f t="shared" si="5"/>
        <v>0</v>
      </c>
      <c r="CQ40" s="32">
        <f t="shared" si="6"/>
        <v>0</v>
      </c>
      <c r="CR40" s="35">
        <v>36</v>
      </c>
      <c r="CS40" s="31" t="e">
        <f t="shared" si="0"/>
        <v>#N/A</v>
      </c>
      <c r="CT40" s="43"/>
      <c r="CU40" s="45"/>
      <c r="CV40" s="68">
        <f>IF(I38&gt;0,J40,0)</f>
        <v>0</v>
      </c>
      <c r="CW40" s="45"/>
      <c r="CX40" s="68">
        <f>IF(I38&gt;4,Q40,0)</f>
        <v>0</v>
      </c>
      <c r="CY40" s="65"/>
      <c r="CZ40" s="69" t="s">
        <v>159</v>
      </c>
      <c r="DA40" s="70">
        <f>MAX(CV48,CV49,CV50,CV51,CX48,CX49,CX50,CX51)</f>
        <v>0</v>
      </c>
      <c r="DB40" s="56"/>
      <c r="DC40" s="70" t="e">
        <f>VALUE(BJ15)</f>
        <v>#DIV/0!</v>
      </c>
    </row>
    <row r="41" spans="1:119" s="6" customFormat="1" ht="8.25" customHeight="1" x14ac:dyDescent="0.55000000000000004">
      <c r="B41" s="315"/>
      <c r="C41" s="315"/>
      <c r="D41" s="315"/>
      <c r="E41" s="315"/>
      <c r="G41" s="2"/>
      <c r="H41" s="63"/>
      <c r="I41" s="1"/>
      <c r="J41" s="71"/>
      <c r="K41" s="71"/>
      <c r="L41" s="71"/>
      <c r="M41" s="1"/>
      <c r="N41" s="1"/>
      <c r="O41" s="1"/>
      <c r="P41" s="1"/>
      <c r="Q41" s="71"/>
      <c r="R41" s="71"/>
      <c r="S41" s="7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P41" s="7"/>
      <c r="AQ41" s="8"/>
      <c r="AR41" s="8"/>
      <c r="AS41" s="9"/>
      <c r="AT41" s="10"/>
      <c r="AU41" s="10"/>
      <c r="AV41" s="10"/>
      <c r="AW41" s="10"/>
      <c r="AX41" s="10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10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8"/>
      <c r="CB41" s="10"/>
      <c r="CC41" s="10"/>
      <c r="CD41" s="10"/>
      <c r="CE41" s="9"/>
      <c r="CF41" s="9"/>
      <c r="CG41" s="9"/>
      <c r="CH41" s="9"/>
      <c r="CI41" s="9"/>
      <c r="CJ41" s="9"/>
      <c r="CK41" s="8"/>
      <c r="CM41" s="43"/>
      <c r="CN41" s="30">
        <v>37</v>
      </c>
      <c r="CO41" s="44">
        <f t="shared" si="4"/>
        <v>0</v>
      </c>
      <c r="CP41" s="27">
        <f t="shared" si="5"/>
        <v>0</v>
      </c>
      <c r="CQ41" s="32">
        <f t="shared" si="6"/>
        <v>0</v>
      </c>
      <c r="CR41" s="33">
        <v>37</v>
      </c>
      <c r="CS41" s="31" t="e">
        <f t="shared" si="0"/>
        <v>#N/A</v>
      </c>
      <c r="CT41" s="43"/>
      <c r="CU41" s="45"/>
      <c r="CV41" s="45"/>
      <c r="CW41" s="45"/>
      <c r="CX41" s="45"/>
      <c r="CY41" s="65"/>
      <c r="CZ41" s="70"/>
      <c r="DA41" s="70"/>
      <c r="DB41" s="45"/>
      <c r="DC41" s="70"/>
    </row>
    <row r="42" spans="1:119" s="6" customFormat="1" ht="27" customHeight="1" x14ac:dyDescent="0.55000000000000004">
      <c r="B42" s="315"/>
      <c r="C42" s="315"/>
      <c r="D42" s="315"/>
      <c r="E42" s="315"/>
      <c r="G42" s="2"/>
      <c r="H42" s="340"/>
      <c r="I42" s="67" t="s">
        <v>160</v>
      </c>
      <c r="J42" s="320">
        <v>0</v>
      </c>
      <c r="K42" s="321"/>
      <c r="L42" s="322"/>
      <c r="M42" s="1"/>
      <c r="N42" s="341" t="s">
        <v>161</v>
      </c>
      <c r="O42" s="342"/>
      <c r="P42" s="343"/>
      <c r="Q42" s="320">
        <v>0</v>
      </c>
      <c r="R42" s="321"/>
      <c r="S42" s="322"/>
      <c r="T42" s="1"/>
      <c r="U42" s="1"/>
      <c r="V42" s="315" t="e">
        <f>IF(BI18=FALSE,"",BI18)</f>
        <v>#DIV/0!</v>
      </c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172"/>
      <c r="AP42" s="7"/>
      <c r="AQ42" s="8"/>
      <c r="AR42" s="8"/>
      <c r="AS42" s="9"/>
      <c r="AT42" s="10"/>
      <c r="AU42" s="10"/>
      <c r="AV42" s="10"/>
      <c r="AW42" s="10"/>
      <c r="AX42" s="1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10"/>
      <c r="BQ42" s="9"/>
      <c r="BR42" s="9"/>
      <c r="BS42" s="9"/>
      <c r="BT42" s="208" t="str">
        <f>IF(AND(I51="ANO",BT38&lt;&gt;BT40),1,"")</f>
        <v/>
      </c>
      <c r="BU42" s="209" t="s">
        <v>274</v>
      </c>
      <c r="BV42" s="9"/>
      <c r="BW42" s="9"/>
      <c r="BX42" s="9"/>
      <c r="BY42" s="9"/>
      <c r="BZ42" s="9"/>
      <c r="CA42" s="8"/>
      <c r="CB42" s="10"/>
      <c r="CC42" s="10"/>
      <c r="CD42" s="10"/>
      <c r="CE42" s="9"/>
      <c r="CF42" s="9"/>
      <c r="CG42" s="9"/>
      <c r="CH42" s="9"/>
      <c r="CI42" s="9"/>
      <c r="CJ42" s="9"/>
      <c r="CK42" s="8"/>
      <c r="CM42" s="43"/>
      <c r="CN42" s="30">
        <v>38</v>
      </c>
      <c r="CO42" s="44">
        <f t="shared" si="4"/>
        <v>0</v>
      </c>
      <c r="CP42" s="27">
        <f t="shared" si="5"/>
        <v>0</v>
      </c>
      <c r="CQ42" s="32">
        <f t="shared" si="6"/>
        <v>0</v>
      </c>
      <c r="CR42" s="35">
        <v>38</v>
      </c>
      <c r="CS42" s="31" t="e">
        <f t="shared" si="0"/>
        <v>#N/A</v>
      </c>
      <c r="CT42" s="43"/>
      <c r="CU42" s="45"/>
      <c r="CV42" s="68">
        <f>IF(I38&gt;1,J42,0)</f>
        <v>0</v>
      </c>
      <c r="CW42" s="45"/>
      <c r="CX42" s="68">
        <f>IF(I38&gt;4,Q42,0)</f>
        <v>0</v>
      </c>
      <c r="CY42" s="65"/>
      <c r="CZ42" s="15" t="s">
        <v>162</v>
      </c>
      <c r="DA42" s="70">
        <f>MIN(CV48,CV49,CV50,CV51,CX48,CX49,CX50,CX51)</f>
        <v>0</v>
      </c>
      <c r="DB42" s="56"/>
      <c r="DC42" s="70" t="e">
        <f>VALUE(BJ16)</f>
        <v>#DIV/0!</v>
      </c>
    </row>
    <row r="43" spans="1:119" s="6" customFormat="1" ht="8.25" customHeight="1" x14ac:dyDescent="0.55000000000000004">
      <c r="B43" s="315"/>
      <c r="C43" s="315"/>
      <c r="D43" s="315"/>
      <c r="E43" s="315"/>
      <c r="G43" s="2"/>
      <c r="H43" s="340"/>
      <c r="I43" s="1"/>
      <c r="J43" s="71"/>
      <c r="K43" s="71"/>
      <c r="L43" s="71"/>
      <c r="M43" s="1"/>
      <c r="N43" s="1"/>
      <c r="O43" s="1"/>
      <c r="P43" s="1"/>
      <c r="Q43" s="71"/>
      <c r="R43" s="71"/>
      <c r="S43" s="71"/>
      <c r="T43" s="1"/>
      <c r="U43" s="1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172"/>
      <c r="AP43" s="7"/>
      <c r="AQ43" s="8"/>
      <c r="AR43" s="8"/>
      <c r="AS43" s="9"/>
      <c r="AT43" s="10"/>
      <c r="AU43" s="10"/>
      <c r="AV43" s="10"/>
      <c r="AW43" s="10"/>
      <c r="AX43" s="10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10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8"/>
      <c r="CB43" s="10"/>
      <c r="CC43" s="10"/>
      <c r="CD43" s="10"/>
      <c r="CE43" s="9"/>
      <c r="CF43" s="9"/>
      <c r="CG43" s="9"/>
      <c r="CH43" s="9"/>
      <c r="CI43" s="9"/>
      <c r="CJ43" s="9"/>
      <c r="CK43" s="8"/>
      <c r="CM43" s="43"/>
      <c r="CN43" s="30">
        <v>39</v>
      </c>
      <c r="CO43" s="44">
        <f t="shared" si="4"/>
        <v>0</v>
      </c>
      <c r="CP43" s="27">
        <f t="shared" si="5"/>
        <v>0</v>
      </c>
      <c r="CQ43" s="32">
        <f t="shared" si="6"/>
        <v>0</v>
      </c>
      <c r="CR43" s="33">
        <v>39</v>
      </c>
      <c r="CS43" s="31" t="e">
        <f t="shared" si="0"/>
        <v>#N/A</v>
      </c>
      <c r="CT43" s="43"/>
      <c r="CU43" s="45"/>
      <c r="CV43" s="45"/>
      <c r="CW43" s="45"/>
      <c r="CX43" s="45"/>
      <c r="CY43" s="65"/>
      <c r="CZ43" s="70"/>
      <c r="DA43" s="70"/>
      <c r="DB43" s="45"/>
    </row>
    <row r="44" spans="1:119" s="6" customFormat="1" ht="27" customHeight="1" x14ac:dyDescent="0.55000000000000004">
      <c r="B44" s="315"/>
      <c r="C44" s="315"/>
      <c r="D44" s="315"/>
      <c r="E44" s="315"/>
      <c r="G44" s="2"/>
      <c r="H44" s="340"/>
      <c r="I44" s="67" t="s">
        <v>163</v>
      </c>
      <c r="J44" s="320">
        <v>0</v>
      </c>
      <c r="K44" s="321"/>
      <c r="L44" s="322"/>
      <c r="M44" s="1"/>
      <c r="N44" s="341" t="s">
        <v>164</v>
      </c>
      <c r="O44" s="342"/>
      <c r="P44" s="343"/>
      <c r="Q44" s="320">
        <v>0</v>
      </c>
      <c r="R44" s="321"/>
      <c r="S44" s="322"/>
      <c r="T44" s="1"/>
      <c r="U44" s="1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172"/>
      <c r="AP44" s="7"/>
      <c r="AQ44" s="8"/>
      <c r="AR44" s="8"/>
      <c r="AS44" s="9"/>
      <c r="AT44" s="10"/>
      <c r="AU44" s="10"/>
      <c r="AV44" s="10"/>
      <c r="AW44" s="10"/>
      <c r="AX44" s="10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10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8"/>
      <c r="CB44" s="10"/>
      <c r="CC44" s="10"/>
      <c r="CD44" s="10"/>
      <c r="CE44" s="9"/>
      <c r="CF44" s="9"/>
      <c r="CG44" s="9"/>
      <c r="CH44" s="9"/>
      <c r="CI44" s="9"/>
      <c r="CJ44" s="9"/>
      <c r="CK44" s="8"/>
      <c r="CM44" s="43"/>
      <c r="CN44" s="30">
        <v>40</v>
      </c>
      <c r="CO44" s="44">
        <f t="shared" si="4"/>
        <v>0</v>
      </c>
      <c r="CP44" s="27">
        <f t="shared" si="5"/>
        <v>0</v>
      </c>
      <c r="CQ44" s="32">
        <f t="shared" si="6"/>
        <v>0</v>
      </c>
      <c r="CR44" s="35">
        <v>40</v>
      </c>
      <c r="CS44" s="31" t="e">
        <f t="shared" si="0"/>
        <v>#N/A</v>
      </c>
      <c r="CT44" s="43"/>
      <c r="CU44" s="45"/>
      <c r="CV44" s="68">
        <f>IF(I38&gt;2,J44,0)</f>
        <v>0</v>
      </c>
      <c r="CW44" s="45"/>
      <c r="CX44" s="68">
        <f>IF(I38&gt;6,Q44,0)</f>
        <v>0</v>
      </c>
      <c r="CY44" s="65"/>
      <c r="CZ44" s="15" t="s">
        <v>165</v>
      </c>
      <c r="DA44" s="70">
        <f>DA40-DA42</f>
        <v>0</v>
      </c>
      <c r="DB44" s="56"/>
      <c r="DH44" s="40"/>
      <c r="DI44" s="40"/>
      <c r="DJ44" s="40"/>
      <c r="DK44" s="40"/>
      <c r="DL44" s="40"/>
      <c r="DM44" s="40"/>
      <c r="DN44" s="40"/>
      <c r="DO44" s="40"/>
    </row>
    <row r="45" spans="1:119" s="6" customFormat="1" ht="8.25" customHeight="1" x14ac:dyDescent="0.55000000000000004">
      <c r="B45" s="315"/>
      <c r="C45" s="315"/>
      <c r="D45" s="315"/>
      <c r="E45" s="315"/>
      <c r="G45" s="2"/>
      <c r="H45" s="340"/>
      <c r="I45" s="1"/>
      <c r="J45" s="71"/>
      <c r="K45" s="71"/>
      <c r="L45" s="71"/>
      <c r="M45" s="1"/>
      <c r="N45" s="1"/>
      <c r="O45" s="1"/>
      <c r="P45" s="1"/>
      <c r="Q45" s="71"/>
      <c r="R45" s="71"/>
      <c r="S45" s="71"/>
      <c r="T45" s="1"/>
      <c r="U45" s="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"/>
      <c r="AP45" s="7"/>
      <c r="AQ45" s="8"/>
      <c r="AR45" s="8"/>
      <c r="AS45" s="9"/>
      <c r="AT45" s="10"/>
      <c r="AU45" s="10"/>
      <c r="AV45" s="10"/>
      <c r="AW45" s="10"/>
      <c r="AX45" s="10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10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8"/>
      <c r="CB45" s="10"/>
      <c r="CC45" s="10"/>
      <c r="CD45" s="10"/>
      <c r="CE45" s="9"/>
      <c r="CF45" s="9"/>
      <c r="CG45" s="9"/>
      <c r="CH45" s="9"/>
      <c r="CI45" s="9"/>
      <c r="CJ45" s="9"/>
      <c r="CK45" s="8"/>
      <c r="CM45" s="43"/>
      <c r="CN45" s="30">
        <v>41</v>
      </c>
      <c r="CO45" s="44">
        <f t="shared" si="4"/>
        <v>0</v>
      </c>
      <c r="CP45" s="27">
        <f t="shared" si="5"/>
        <v>0</v>
      </c>
      <c r="CQ45" s="32">
        <f t="shared" si="6"/>
        <v>0</v>
      </c>
      <c r="CR45" s="33">
        <v>41</v>
      </c>
      <c r="CS45" s="31" t="e">
        <f t="shared" si="0"/>
        <v>#N/A</v>
      </c>
      <c r="CT45" s="43"/>
      <c r="CU45" s="45"/>
      <c r="CV45" s="45"/>
      <c r="CW45" s="45"/>
      <c r="CX45" s="45"/>
      <c r="CY45" s="65"/>
      <c r="CZ45" s="45"/>
      <c r="DA45" s="45"/>
      <c r="DB45" s="45"/>
      <c r="DH45" s="40"/>
      <c r="DI45" s="40"/>
      <c r="DJ45" s="40"/>
      <c r="DK45" s="40"/>
      <c r="DL45" s="40"/>
      <c r="DM45" s="40"/>
      <c r="DN45" s="40"/>
      <c r="DO45" s="40"/>
    </row>
    <row r="46" spans="1:119" s="6" customFormat="1" ht="27" customHeight="1" x14ac:dyDescent="0.55000000000000004">
      <c r="A46" s="18"/>
      <c r="B46" s="315"/>
      <c r="C46" s="315"/>
      <c r="D46" s="315"/>
      <c r="E46" s="315"/>
      <c r="G46" s="2"/>
      <c r="H46" s="340"/>
      <c r="I46" s="67" t="s">
        <v>166</v>
      </c>
      <c r="J46" s="320">
        <v>0</v>
      </c>
      <c r="K46" s="321"/>
      <c r="L46" s="322"/>
      <c r="M46" s="1"/>
      <c r="N46" s="341" t="s">
        <v>167</v>
      </c>
      <c r="O46" s="342"/>
      <c r="P46" s="343"/>
      <c r="Q46" s="320">
        <v>0</v>
      </c>
      <c r="R46" s="321"/>
      <c r="S46" s="322"/>
      <c r="T46" s="1"/>
      <c r="U46" s="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"/>
      <c r="AP46" s="7"/>
      <c r="AQ46" s="8"/>
      <c r="AR46" s="8"/>
      <c r="AS46" s="9"/>
      <c r="AT46" s="10"/>
      <c r="AU46" s="10"/>
      <c r="AV46" s="10"/>
      <c r="AW46" s="10"/>
      <c r="AX46" s="10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10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8"/>
      <c r="CB46" s="10"/>
      <c r="CC46" s="10"/>
      <c r="CD46" s="10"/>
      <c r="CE46" s="9"/>
      <c r="CF46" s="9"/>
      <c r="CG46" s="9"/>
      <c r="CH46" s="9"/>
      <c r="CI46" s="9"/>
      <c r="CJ46" s="9"/>
      <c r="CK46" s="8"/>
      <c r="CM46" s="43"/>
      <c r="CN46" s="30">
        <v>42</v>
      </c>
      <c r="CO46" s="44">
        <f t="shared" si="4"/>
        <v>0</v>
      </c>
      <c r="CP46" s="27">
        <f t="shared" si="5"/>
        <v>0</v>
      </c>
      <c r="CQ46" s="32">
        <f t="shared" si="6"/>
        <v>0</v>
      </c>
      <c r="CR46" s="35">
        <v>42</v>
      </c>
      <c r="CS46" s="31" t="e">
        <f t="shared" si="0"/>
        <v>#N/A</v>
      </c>
      <c r="CT46" s="43"/>
      <c r="CU46" s="45"/>
      <c r="CV46" s="68">
        <f>IF(I38&gt;3,J46,0)</f>
        <v>0</v>
      </c>
      <c r="CW46" s="45"/>
      <c r="CX46" s="68">
        <f>IF(I38&gt;6,Q46,0)</f>
        <v>0</v>
      </c>
      <c r="CY46" s="65"/>
      <c r="CZ46" s="62"/>
      <c r="DA46" s="45"/>
      <c r="DB46" s="56"/>
      <c r="DH46" s="40"/>
      <c r="DI46" s="42" t="s">
        <v>262</v>
      </c>
      <c r="DJ46" s="40"/>
      <c r="DK46" s="40"/>
      <c r="DL46" s="40"/>
      <c r="DM46" s="40"/>
      <c r="DN46" s="40"/>
      <c r="DO46" s="40"/>
    </row>
    <row r="47" spans="1:119" s="6" customFormat="1" ht="8.25" customHeight="1" x14ac:dyDescent="0.55000000000000004">
      <c r="B47" s="315"/>
      <c r="C47" s="315"/>
      <c r="D47" s="315"/>
      <c r="E47" s="315"/>
      <c r="G47" s="2"/>
      <c r="H47" s="6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P47" s="7"/>
      <c r="AQ47" s="8"/>
      <c r="AR47" s="8"/>
      <c r="AS47" s="9"/>
      <c r="AT47" s="10"/>
      <c r="AU47" s="10"/>
      <c r="AV47" s="10"/>
      <c r="AW47" s="10"/>
      <c r="AX47" s="10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10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8"/>
      <c r="CB47" s="10"/>
      <c r="CC47" s="10"/>
      <c r="CD47" s="10"/>
      <c r="CE47" s="9"/>
      <c r="CF47" s="9"/>
      <c r="CG47" s="9"/>
      <c r="CH47" s="9"/>
      <c r="CI47" s="9"/>
      <c r="CJ47" s="9"/>
      <c r="CK47" s="8"/>
      <c r="CM47" s="43"/>
      <c r="CN47" s="30">
        <v>43</v>
      </c>
      <c r="CO47" s="44">
        <f t="shared" si="4"/>
        <v>0</v>
      </c>
      <c r="CP47" s="27">
        <f t="shared" si="5"/>
        <v>0</v>
      </c>
      <c r="CQ47" s="32">
        <f t="shared" si="6"/>
        <v>0</v>
      </c>
      <c r="CR47" s="33">
        <v>43</v>
      </c>
      <c r="CS47" s="31" t="e">
        <f t="shared" si="0"/>
        <v>#N/A</v>
      </c>
      <c r="CT47" s="43"/>
      <c r="CU47" s="45"/>
      <c r="CV47" s="45"/>
      <c r="CW47" s="45"/>
      <c r="CX47" s="45"/>
      <c r="CY47" s="65"/>
      <c r="CZ47" s="65"/>
      <c r="DA47" s="45"/>
      <c r="DG47" s="43"/>
      <c r="DH47" s="40"/>
      <c r="DI47" s="40"/>
      <c r="DJ47" s="40"/>
      <c r="DK47" s="40"/>
      <c r="DL47" s="40"/>
      <c r="DM47" s="40"/>
      <c r="DN47" s="40"/>
      <c r="DO47" s="40"/>
    </row>
    <row r="48" spans="1:119" s="6" customFormat="1" ht="27" customHeight="1" x14ac:dyDescent="0.55000000000000004">
      <c r="B48" s="315"/>
      <c r="C48" s="315"/>
      <c r="D48" s="315"/>
      <c r="E48" s="315"/>
      <c r="G48" s="12" t="s">
        <v>280</v>
      </c>
      <c r="H48" s="72" t="s">
        <v>169</v>
      </c>
      <c r="I48" s="330" t="s">
        <v>101</v>
      </c>
      <c r="J48" s="331"/>
      <c r="K48" s="331"/>
      <c r="L48" s="332"/>
      <c r="M48" s="333"/>
      <c r="N48" s="278"/>
      <c r="O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E48" s="7"/>
      <c r="AF48" s="8"/>
      <c r="AG48" s="8"/>
      <c r="AH48" s="9"/>
      <c r="AI48" s="10"/>
      <c r="AJ48" s="10"/>
      <c r="AK48" s="10"/>
      <c r="AL48" s="10"/>
      <c r="AM48" s="10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8"/>
      <c r="BQ48" s="10"/>
      <c r="BR48" s="10"/>
      <c r="BS48" s="10"/>
      <c r="BT48" s="9"/>
      <c r="BU48" s="9"/>
      <c r="BV48" s="9"/>
      <c r="BW48" s="9"/>
      <c r="BX48" s="9"/>
      <c r="BY48" s="9"/>
      <c r="BZ48" s="8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30">
        <v>44</v>
      </c>
      <c r="CO48" s="44">
        <f t="shared" si="4"/>
        <v>0</v>
      </c>
      <c r="CP48" s="27">
        <f t="shared" si="5"/>
        <v>0</v>
      </c>
      <c r="CQ48" s="32">
        <f t="shared" si="6"/>
        <v>0</v>
      </c>
      <c r="CR48" s="35">
        <v>44</v>
      </c>
      <c r="CS48" s="31" t="e">
        <f t="shared" si="0"/>
        <v>#N/A</v>
      </c>
      <c r="CT48" s="43"/>
      <c r="CU48" s="18"/>
      <c r="CV48" s="70" t="str">
        <f>IF(CV40&gt;0,CV40,"")</f>
        <v/>
      </c>
      <c r="CW48" s="45"/>
      <c r="CX48" s="70" t="str">
        <f>IF(CX40&gt;0,CX40,"")</f>
        <v/>
      </c>
      <c r="CY48" s="73"/>
      <c r="CZ48" s="70" t="e">
        <f>VALUE(CV48)</f>
        <v>#VALUE!</v>
      </c>
      <c r="DA48" s="70" t="e">
        <f>VALUE(CX48)</f>
        <v>#VALUE!</v>
      </c>
      <c r="DC48" s="70" t="e">
        <f>IF(OR(CV48=$DC$40,CV48=$DC$42),1)</f>
        <v>#DIV/0!</v>
      </c>
      <c r="DD48" s="70" t="e">
        <f>IF(OR(CX48=$DC$40,CX48=$DC$42),1)</f>
        <v>#DIV/0!</v>
      </c>
      <c r="DF48" s="70" t="e">
        <f>IF(CZ48&gt;0,1)</f>
        <v>#VALUE!</v>
      </c>
      <c r="DG48" s="70" t="e">
        <f>IF(DA48&gt;0,1)</f>
        <v>#VALUE!</v>
      </c>
      <c r="DH48" s="40"/>
      <c r="DI48" s="58" t="e">
        <f>DC48+DF48</f>
        <v>#DIV/0!</v>
      </c>
      <c r="DJ48" s="58" t="e">
        <f>DD48+DG48</f>
        <v>#DIV/0!</v>
      </c>
      <c r="DK48" s="40"/>
      <c r="DL48" s="40" t="s">
        <v>263</v>
      </c>
      <c r="DM48" s="40"/>
      <c r="DN48" s="40"/>
      <c r="DO48" s="40"/>
    </row>
    <row r="49" spans="2:119" s="6" customFormat="1" ht="18" customHeight="1" x14ac:dyDescent="0.55000000000000004">
      <c r="B49" s="315"/>
      <c r="C49" s="315"/>
      <c r="D49" s="315"/>
      <c r="E49" s="315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P49" s="7"/>
      <c r="AQ49" s="8"/>
      <c r="AR49" s="8"/>
      <c r="AS49" s="9"/>
      <c r="AT49" s="10"/>
      <c r="AU49" s="10"/>
      <c r="AV49" s="10"/>
      <c r="AW49" s="10"/>
      <c r="AX49" s="10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10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8"/>
      <c r="CB49" s="10"/>
      <c r="CC49" s="10"/>
      <c r="CD49" s="10"/>
      <c r="CE49" s="9"/>
      <c r="CF49" s="9"/>
      <c r="CG49" s="9"/>
      <c r="CH49" s="9"/>
      <c r="CI49" s="9"/>
      <c r="CJ49" s="9"/>
      <c r="CK49" s="8"/>
      <c r="CM49" s="43"/>
      <c r="CN49" s="30">
        <v>45</v>
      </c>
      <c r="CO49" s="44">
        <f t="shared" si="4"/>
        <v>0</v>
      </c>
      <c r="CP49" s="27">
        <f t="shared" si="5"/>
        <v>0</v>
      </c>
      <c r="CQ49" s="32">
        <f t="shared" si="6"/>
        <v>0</v>
      </c>
      <c r="CR49" s="33">
        <v>45</v>
      </c>
      <c r="CS49" s="31" t="e">
        <f t="shared" si="0"/>
        <v>#N/A</v>
      </c>
      <c r="CT49" s="43"/>
      <c r="CU49" s="45"/>
      <c r="CV49" s="70" t="str">
        <f>IF(CV42&gt;0,CV42,"")</f>
        <v/>
      </c>
      <c r="CW49" s="45"/>
      <c r="CX49" s="70" t="str">
        <f>IF(CX42&gt;0,CX42,"")</f>
        <v/>
      </c>
      <c r="CY49" s="65"/>
      <c r="CZ49" s="70" t="e">
        <f>VALUE(CV49)</f>
        <v>#VALUE!</v>
      </c>
      <c r="DA49" s="70" t="e">
        <f>VALUE(CX49)</f>
        <v>#VALUE!</v>
      </c>
      <c r="DC49" s="70" t="e">
        <f>IF(OR(CV49=$DC$40,CV49=$DC$42),1)</f>
        <v>#DIV/0!</v>
      </c>
      <c r="DD49" s="70" t="e">
        <f>IF(OR(CX49=$DC$40,CX49=$DC$42),1)</f>
        <v>#DIV/0!</v>
      </c>
      <c r="DF49" s="70" t="e">
        <f t="shared" ref="DF49:DG51" si="7">IF(CZ49&gt;0,1)</f>
        <v>#VALUE!</v>
      </c>
      <c r="DG49" s="70" t="e">
        <f t="shared" si="7"/>
        <v>#VALUE!</v>
      </c>
      <c r="DH49" s="40"/>
      <c r="DI49" s="58" t="e">
        <f t="shared" ref="DI49:DJ51" si="8">DC49+DF49</f>
        <v>#DIV/0!</v>
      </c>
      <c r="DJ49" s="58" t="e">
        <f t="shared" si="8"/>
        <v>#DIV/0!</v>
      </c>
      <c r="DK49" s="40"/>
      <c r="DL49" s="40"/>
      <c r="DM49" s="40"/>
      <c r="DN49" s="40"/>
      <c r="DO49" s="40"/>
    </row>
    <row r="50" spans="2:119" s="6" customFormat="1" ht="18" customHeight="1" x14ac:dyDescent="0.55000000000000004">
      <c r="B50" s="315"/>
      <c r="C50" s="315"/>
      <c r="D50" s="315"/>
      <c r="E50" s="315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P50" s="7"/>
      <c r="AQ50" s="8"/>
      <c r="AR50" s="8"/>
      <c r="AS50" s="9"/>
      <c r="AT50" s="10"/>
      <c r="AU50" s="10"/>
      <c r="AV50" s="10"/>
      <c r="AW50" s="10"/>
      <c r="AX50" s="10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10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8"/>
      <c r="CB50" s="10"/>
      <c r="CC50" s="10"/>
      <c r="CD50" s="10"/>
      <c r="CE50" s="9"/>
      <c r="CF50" s="9"/>
      <c r="CG50" s="9"/>
      <c r="CH50" s="9"/>
      <c r="CI50" s="9"/>
      <c r="CJ50" s="9"/>
      <c r="CK50" s="8"/>
      <c r="CM50" s="43"/>
      <c r="CN50" s="30">
        <v>46</v>
      </c>
      <c r="CO50" s="44">
        <f t="shared" si="4"/>
        <v>0</v>
      </c>
      <c r="CP50" s="27">
        <f t="shared" si="5"/>
        <v>0</v>
      </c>
      <c r="CQ50" s="32">
        <f t="shared" si="6"/>
        <v>0</v>
      </c>
      <c r="CR50" s="35">
        <v>46</v>
      </c>
      <c r="CS50" s="31" t="e">
        <f t="shared" si="0"/>
        <v>#N/A</v>
      </c>
      <c r="CT50"/>
      <c r="CU50" s="45"/>
      <c r="CV50" s="70" t="str">
        <f>IF(CV44&gt;0,CV44,"")</f>
        <v/>
      </c>
      <c r="CW50" s="45"/>
      <c r="CX50" s="70" t="str">
        <f>IF(CX44&gt;0,CX44,"")</f>
        <v/>
      </c>
      <c r="CY50" s="65"/>
      <c r="CZ50" s="70" t="e">
        <f>VALUE(CV50)</f>
        <v>#VALUE!</v>
      </c>
      <c r="DA50" s="70" t="e">
        <f>VALUE(CX50)</f>
        <v>#VALUE!</v>
      </c>
      <c r="DC50" s="70" t="e">
        <f>IF(OR(CV50=$DC$40,CV50=$DC$42),1)</f>
        <v>#DIV/0!</v>
      </c>
      <c r="DD50" s="70" t="e">
        <f>IF(OR(CX50=$DC$40,CX50=$DC$42),1)</f>
        <v>#DIV/0!</v>
      </c>
      <c r="DF50" s="70" t="e">
        <f t="shared" si="7"/>
        <v>#VALUE!</v>
      </c>
      <c r="DG50" s="70" t="e">
        <f t="shared" si="7"/>
        <v>#VALUE!</v>
      </c>
      <c r="DH50" s="40"/>
      <c r="DI50" s="58" t="e">
        <f t="shared" si="8"/>
        <v>#DIV/0!</v>
      </c>
      <c r="DJ50" s="58" t="e">
        <f t="shared" si="8"/>
        <v>#DIV/0!</v>
      </c>
      <c r="DK50" s="40"/>
      <c r="DL50" s="40"/>
      <c r="DM50" s="40"/>
      <c r="DN50" s="40"/>
      <c r="DO50" s="40"/>
    </row>
    <row r="51" spans="2:119" s="6" customFormat="1" ht="27" customHeight="1" x14ac:dyDescent="0.4">
      <c r="B51" s="43"/>
      <c r="G51" s="12" t="s">
        <v>278</v>
      </c>
      <c r="H51" s="72" t="s">
        <v>170</v>
      </c>
      <c r="I51" s="336" t="s">
        <v>101</v>
      </c>
      <c r="J51" s="337"/>
      <c r="K51" s="337"/>
      <c r="L51" s="338"/>
      <c r="M51" s="333"/>
      <c r="N51" s="278"/>
      <c r="O51" s="339" t="str">
        <f>IF(AND(I51="ANO",I53=AY28),"Zvolte vhodný typ pavouka.","")</f>
        <v/>
      </c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8"/>
      <c r="BQ51" s="10"/>
      <c r="BR51" s="10"/>
      <c r="BS51" s="10"/>
      <c r="BT51" s="9"/>
      <c r="BU51" s="9"/>
      <c r="BV51" s="9"/>
      <c r="BW51" s="9"/>
      <c r="BX51" s="9"/>
      <c r="BY51" s="9"/>
      <c r="BZ51" s="8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30">
        <v>47</v>
      </c>
      <c r="CO51" s="44">
        <f t="shared" si="4"/>
        <v>0</v>
      </c>
      <c r="CP51" s="27">
        <f t="shared" si="5"/>
        <v>0</v>
      </c>
      <c r="CQ51" s="32">
        <f t="shared" si="6"/>
        <v>0</v>
      </c>
      <c r="CR51" s="33">
        <v>47</v>
      </c>
      <c r="CS51" s="31" t="e">
        <f t="shared" si="0"/>
        <v>#N/A</v>
      </c>
      <c r="CT51" s="43"/>
      <c r="CU51" s="18"/>
      <c r="CV51" s="70" t="str">
        <f>IF(CV46&gt;0,CV46,"")</f>
        <v/>
      </c>
      <c r="CW51" s="45"/>
      <c r="CX51" s="70" t="str">
        <f>IF(CX46&gt;0,CX46,"")</f>
        <v/>
      </c>
      <c r="CY51" s="18"/>
      <c r="CZ51" s="70" t="e">
        <f>VALUE(CV51)</f>
        <v>#VALUE!</v>
      </c>
      <c r="DA51" s="70" t="e">
        <f>VALUE(CX51)</f>
        <v>#VALUE!</v>
      </c>
      <c r="DC51" s="70" t="e">
        <f>IF(OR(CV51=$DC$40,CV51=$DC$42),1)</f>
        <v>#DIV/0!</v>
      </c>
      <c r="DD51" s="70" t="e">
        <f>IF(OR(CX51=$DC$40,CX51=$DC$42),1)</f>
        <v>#DIV/0!</v>
      </c>
      <c r="DF51" s="70" t="e">
        <f t="shared" si="7"/>
        <v>#VALUE!</v>
      </c>
      <c r="DG51" s="70" t="e">
        <f t="shared" si="7"/>
        <v>#VALUE!</v>
      </c>
      <c r="DH51" s="40"/>
      <c r="DI51" s="58" t="e">
        <f t="shared" si="8"/>
        <v>#DIV/0!</v>
      </c>
      <c r="DJ51" s="58" t="e">
        <f t="shared" si="8"/>
        <v>#DIV/0!</v>
      </c>
      <c r="DK51" s="40"/>
      <c r="DL51" s="40"/>
      <c r="DM51" s="40"/>
      <c r="DN51" s="40"/>
      <c r="DO51" s="40"/>
    </row>
    <row r="52" spans="2:119" ht="8.25" customHeight="1" x14ac:dyDescent="0.5">
      <c r="V52" s="315" t="str">
        <f>IF(AND(BV40=3,BX40=1),"Pokud je některá skupina tříčlenná, zvažte Postup 3 hráčů, jinak může dojít k nesprávnému řazení hráčů na výsl. listině.","")</f>
        <v/>
      </c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180"/>
      <c r="CN52" s="30">
        <v>48</v>
      </c>
      <c r="CO52" s="44">
        <f t="shared" si="4"/>
        <v>0</v>
      </c>
      <c r="CP52" s="27">
        <f t="shared" si="5"/>
        <v>0</v>
      </c>
      <c r="CQ52" s="32">
        <f t="shared" si="6"/>
        <v>0</v>
      </c>
      <c r="CR52" s="35">
        <v>48</v>
      </c>
      <c r="CS52" s="31" t="e">
        <f t="shared" si="0"/>
        <v>#N/A</v>
      </c>
      <c r="DH52" s="8"/>
      <c r="DI52" s="8"/>
      <c r="DJ52" s="8"/>
      <c r="DK52" s="8"/>
      <c r="DL52" s="8"/>
      <c r="DM52" s="8"/>
      <c r="DN52" s="8"/>
      <c r="DO52" s="8"/>
    </row>
    <row r="53" spans="2:119" ht="27" customHeight="1" x14ac:dyDescent="0.4">
      <c r="G53" s="12" t="s">
        <v>172</v>
      </c>
      <c r="H53" s="72" t="s">
        <v>171</v>
      </c>
      <c r="I53" s="327" t="s">
        <v>121</v>
      </c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9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180"/>
      <c r="CN53" s="30">
        <v>49</v>
      </c>
      <c r="CO53" s="44">
        <f t="shared" si="4"/>
        <v>0</v>
      </c>
      <c r="CP53" s="27">
        <f t="shared" si="5"/>
        <v>0</v>
      </c>
      <c r="CQ53" s="32">
        <f t="shared" si="6"/>
        <v>0</v>
      </c>
      <c r="CR53" s="33">
        <v>49</v>
      </c>
      <c r="CS53" s="31" t="e">
        <f t="shared" si="0"/>
        <v>#N/A</v>
      </c>
      <c r="CT53" s="43"/>
      <c r="CZ53" s="107" t="s">
        <v>256</v>
      </c>
      <c r="DB53" s="8"/>
      <c r="DC53" s="8" t="s">
        <v>258</v>
      </c>
      <c r="DD53" s="8"/>
      <c r="DE53" s="8"/>
      <c r="DF53" s="8" t="s">
        <v>257</v>
      </c>
      <c r="DG53" s="8"/>
      <c r="DH53" s="8"/>
      <c r="DI53" s="8" t="s">
        <v>259</v>
      </c>
      <c r="DJ53" s="8"/>
      <c r="DK53" s="8"/>
      <c r="DL53" s="8"/>
      <c r="DM53" s="8"/>
      <c r="DN53" s="8"/>
      <c r="DO53" s="8"/>
    </row>
    <row r="54" spans="2:119" ht="8.25" customHeight="1" x14ac:dyDescent="0.5"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180"/>
      <c r="CN54" s="30">
        <v>50</v>
      </c>
      <c r="CO54" s="44">
        <f t="shared" si="4"/>
        <v>0</v>
      </c>
      <c r="CP54" s="27">
        <f t="shared" si="5"/>
        <v>0</v>
      </c>
      <c r="CQ54" s="32">
        <f t="shared" si="6"/>
        <v>0</v>
      </c>
      <c r="CR54" s="35">
        <v>50</v>
      </c>
      <c r="CS54" s="31" t="e">
        <f t="shared" si="0"/>
        <v>#N/A</v>
      </c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</row>
    <row r="55" spans="2:119" s="6" customFormat="1" ht="27" customHeight="1" x14ac:dyDescent="0.4">
      <c r="B55"/>
      <c r="E55" s="12" t="s">
        <v>277</v>
      </c>
      <c r="G55" s="12" t="s">
        <v>223</v>
      </c>
      <c r="H55" s="72" t="s">
        <v>173</v>
      </c>
      <c r="I55" s="330" t="s">
        <v>101</v>
      </c>
      <c r="J55" s="331"/>
      <c r="K55" s="331"/>
      <c r="L55" s="332"/>
      <c r="M55" s="333"/>
      <c r="N55" s="278"/>
      <c r="O55" s="334" t="str">
        <f>IF(AND(I51="ANO",BT40=0),"",IF(AND(I51="ANO",BT38&lt;&gt;BT40),"Typ pavouka neodpovídá počtu odehraných skupin!",""))</f>
        <v/>
      </c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210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8"/>
      <c r="BQ55" s="10"/>
      <c r="BR55" s="10"/>
      <c r="BS55" s="10"/>
      <c r="BT55" s="9"/>
      <c r="BU55" s="9"/>
      <c r="BV55" s="9"/>
      <c r="BW55" s="9"/>
      <c r="BX55" s="9"/>
      <c r="BY55" s="9"/>
      <c r="BZ55" s="8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30">
        <v>51</v>
      </c>
      <c r="CO55" s="44">
        <f t="shared" si="4"/>
        <v>0</v>
      </c>
      <c r="CP55" s="27">
        <f t="shared" si="5"/>
        <v>0</v>
      </c>
      <c r="CQ55" s="32">
        <f t="shared" si="6"/>
        <v>0</v>
      </c>
      <c r="CR55" s="33">
        <v>51</v>
      </c>
      <c r="CS55" s="31" t="e">
        <f t="shared" si="0"/>
        <v>#N/A</v>
      </c>
      <c r="CT55"/>
      <c r="CU55" s="18"/>
      <c r="CV55" s="18"/>
      <c r="CW55" s="18"/>
      <c r="CX55" s="18"/>
      <c r="CY55" s="18"/>
      <c r="CZ55" s="18"/>
      <c r="DA55" s="18"/>
      <c r="DB55" s="40"/>
      <c r="DC55" s="40"/>
      <c r="DD55" s="40"/>
      <c r="DE55" s="40"/>
      <c r="DF55" s="40"/>
      <c r="DG55" s="40"/>
      <c r="DH55" s="40"/>
      <c r="DI55" s="42" t="s">
        <v>260</v>
      </c>
      <c r="DJ55" s="40"/>
      <c r="DK55" s="40"/>
      <c r="DL55" s="40"/>
      <c r="DM55" s="40"/>
      <c r="DN55" s="40"/>
      <c r="DO55" s="40"/>
    </row>
    <row r="56" spans="2:119" ht="8.25" customHeight="1" x14ac:dyDescent="0.5">
      <c r="CN56" s="30">
        <v>52</v>
      </c>
      <c r="CO56" s="44">
        <f t="shared" si="4"/>
        <v>0</v>
      </c>
      <c r="CP56" s="27">
        <f t="shared" si="5"/>
        <v>0</v>
      </c>
      <c r="CQ56" s="32">
        <f t="shared" si="6"/>
        <v>0</v>
      </c>
      <c r="CR56" s="35">
        <v>52</v>
      </c>
      <c r="CS56" s="31" t="e">
        <f t="shared" si="0"/>
        <v>#N/A</v>
      </c>
      <c r="CT56" s="43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</row>
    <row r="57" spans="2:119" x14ac:dyDescent="0.5">
      <c r="O57"/>
      <c r="CN57" s="30">
        <v>53</v>
      </c>
      <c r="CO57" s="44">
        <f t="shared" si="4"/>
        <v>0</v>
      </c>
      <c r="CP57" s="27">
        <f t="shared" si="5"/>
        <v>0</v>
      </c>
      <c r="CQ57" s="32">
        <f t="shared" si="6"/>
        <v>0</v>
      </c>
      <c r="CR57" s="33">
        <v>53</v>
      </c>
      <c r="CS57" s="31" t="e">
        <f t="shared" si="0"/>
        <v>#N/A</v>
      </c>
      <c r="DB57" s="8"/>
      <c r="DC57" s="8"/>
      <c r="DD57" s="8"/>
      <c r="DE57" s="8"/>
      <c r="DF57" s="8"/>
      <c r="DG57" s="8"/>
      <c r="DH57" s="8"/>
      <c r="DI57" s="8" t="s">
        <v>261</v>
      </c>
      <c r="DJ57" s="8"/>
      <c r="DK57" s="8"/>
      <c r="DL57" s="8"/>
      <c r="DM57" s="8"/>
      <c r="DN57" s="8"/>
      <c r="DO57" s="8"/>
    </row>
    <row r="58" spans="2:119" s="6" customFormat="1" ht="15" customHeight="1" x14ac:dyDescent="0.5">
      <c r="B58" s="43"/>
      <c r="G58" s="2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74"/>
      <c r="AP58" s="7"/>
      <c r="AQ58" s="8"/>
      <c r="AR58" s="8"/>
      <c r="AS58" s="9"/>
      <c r="AT58" s="10"/>
      <c r="AU58" s="10"/>
      <c r="AV58" s="10"/>
      <c r="AW58" s="10"/>
      <c r="AX58" s="10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10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8"/>
      <c r="CB58" s="10"/>
      <c r="CC58" s="10"/>
      <c r="CD58" s="10"/>
      <c r="CE58" s="9"/>
      <c r="CF58" s="9"/>
      <c r="CG58" s="9"/>
      <c r="CH58" s="9"/>
      <c r="CI58" s="9"/>
      <c r="CJ58" s="9"/>
      <c r="CK58" s="8"/>
      <c r="CM58" s="43"/>
      <c r="CN58" s="30">
        <v>54</v>
      </c>
      <c r="CO58" s="44">
        <f t="shared" si="4"/>
        <v>0</v>
      </c>
      <c r="CP58" s="27">
        <f t="shared" si="5"/>
        <v>0</v>
      </c>
      <c r="CQ58" s="32">
        <f t="shared" si="6"/>
        <v>0</v>
      </c>
      <c r="CR58" s="35">
        <v>54</v>
      </c>
      <c r="CS58" s="31" t="e">
        <f t="shared" si="0"/>
        <v>#N/A</v>
      </c>
      <c r="CT58"/>
      <c r="CU58" s="45"/>
      <c r="CV58" s="45"/>
      <c r="CW58" s="45"/>
      <c r="CX58" s="45"/>
      <c r="CY58" s="45"/>
      <c r="CZ58" s="45"/>
      <c r="DA58" s="45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ht="165" customHeight="1" x14ac:dyDescent="0.9">
      <c r="H59" s="356" t="s">
        <v>174</v>
      </c>
      <c r="I59" s="357"/>
      <c r="J59" s="344" t="str">
        <f>H60</f>
        <v/>
      </c>
      <c r="K59" s="345"/>
      <c r="L59" s="346"/>
      <c r="M59" s="344" t="str">
        <f>H61</f>
        <v/>
      </c>
      <c r="N59" s="345"/>
      <c r="O59" s="346"/>
      <c r="P59" s="344" t="str">
        <f>H62</f>
        <v/>
      </c>
      <c r="Q59" s="345"/>
      <c r="R59" s="346"/>
      <c r="S59" s="344" t="str">
        <f>H63</f>
        <v/>
      </c>
      <c r="T59" s="345"/>
      <c r="U59" s="346"/>
      <c r="V59" s="344" t="str">
        <f>H64</f>
        <v/>
      </c>
      <c r="W59" s="345"/>
      <c r="X59" s="346"/>
      <c r="Y59" s="344" t="str">
        <f>H65</f>
        <v/>
      </c>
      <c r="Z59" s="345"/>
      <c r="AA59" s="346"/>
      <c r="AB59" s="344" t="str">
        <f>H66</f>
        <v/>
      </c>
      <c r="AC59" s="345"/>
      <c r="AD59" s="346"/>
      <c r="AE59" s="347" t="s">
        <v>175</v>
      </c>
      <c r="AF59" s="348"/>
      <c r="AG59" s="349"/>
      <c r="AH59" s="347" t="s">
        <v>176</v>
      </c>
      <c r="AI59" s="349"/>
      <c r="AJ59" s="350" t="s">
        <v>177</v>
      </c>
      <c r="AK59" s="350"/>
      <c r="AL59" s="350"/>
      <c r="AM59" s="75" t="s">
        <v>178</v>
      </c>
      <c r="AN59" s="76" t="s">
        <v>179</v>
      </c>
      <c r="AO59" s="76" t="s">
        <v>180</v>
      </c>
      <c r="AP59" s="77" t="s">
        <v>181</v>
      </c>
      <c r="AQ59" s="78"/>
      <c r="AR59" s="78" t="s">
        <v>182</v>
      </c>
      <c r="AS59" s="79"/>
      <c r="AT59" s="80"/>
      <c r="AU59" s="80"/>
      <c r="AV59" s="81" t="s">
        <v>183</v>
      </c>
      <c r="AW59" s="82">
        <v>1</v>
      </c>
      <c r="AX59" s="82">
        <v>2</v>
      </c>
      <c r="AY59" s="82">
        <v>3</v>
      </c>
      <c r="AZ59" s="81" t="s">
        <v>4</v>
      </c>
      <c r="BA59" s="81" t="s">
        <v>5</v>
      </c>
      <c r="BB59" s="81" t="s">
        <v>6</v>
      </c>
      <c r="BC59" s="81" t="s">
        <v>7</v>
      </c>
      <c r="BD59" s="81" t="s">
        <v>184</v>
      </c>
      <c r="BG59" s="81" t="s">
        <v>178</v>
      </c>
      <c r="BH59" s="82">
        <v>1</v>
      </c>
      <c r="BI59" s="82">
        <v>2</v>
      </c>
      <c r="BJ59" s="82">
        <v>3</v>
      </c>
      <c r="BK59" s="81" t="s">
        <v>4</v>
      </c>
      <c r="BL59" s="81" t="s">
        <v>5</v>
      </c>
      <c r="BM59" s="81" t="s">
        <v>6</v>
      </c>
      <c r="BN59" s="81" t="s">
        <v>7</v>
      </c>
      <c r="BO59" s="81" t="s">
        <v>185</v>
      </c>
      <c r="BQ59" s="81" t="s">
        <v>186</v>
      </c>
      <c r="BR59" s="81" t="s">
        <v>187</v>
      </c>
      <c r="BS59" s="81" t="s">
        <v>188</v>
      </c>
      <c r="BT59" s="81" t="s">
        <v>189</v>
      </c>
      <c r="BU59" s="81" t="s">
        <v>190</v>
      </c>
      <c r="BV59" s="81" t="s">
        <v>191</v>
      </c>
      <c r="BW59" s="81" t="s">
        <v>192</v>
      </c>
      <c r="BX59" s="81" t="s">
        <v>193</v>
      </c>
      <c r="BY59" s="81"/>
      <c r="BZ59" s="81" t="s">
        <v>194</v>
      </c>
      <c r="CA59" s="83"/>
      <c r="CB59" s="81" t="s">
        <v>195</v>
      </c>
      <c r="CC59" s="82">
        <v>1</v>
      </c>
      <c r="CD59" s="82">
        <v>2</v>
      </c>
      <c r="CE59" s="82">
        <v>3</v>
      </c>
      <c r="CF59" s="81" t="s">
        <v>4</v>
      </c>
      <c r="CG59" s="81" t="s">
        <v>5</v>
      </c>
      <c r="CH59" s="81" t="s">
        <v>6</v>
      </c>
      <c r="CI59" s="81" t="s">
        <v>7</v>
      </c>
      <c r="CJ59" s="81" t="s">
        <v>184</v>
      </c>
      <c r="CK59" s="83" t="s">
        <v>196</v>
      </c>
      <c r="CN59" s="30">
        <v>55</v>
      </c>
      <c r="CO59" s="44">
        <f t="shared" si="4"/>
        <v>0</v>
      </c>
      <c r="CP59" s="27">
        <f t="shared" si="5"/>
        <v>0</v>
      </c>
      <c r="CQ59" s="32">
        <f t="shared" si="6"/>
        <v>0</v>
      </c>
      <c r="CR59" s="33">
        <v>55</v>
      </c>
      <c r="CS59" s="31" t="e">
        <f t="shared" si="0"/>
        <v>#N/A</v>
      </c>
      <c r="CY59" s="11" t="s">
        <v>178</v>
      </c>
      <c r="CZ59" s="11" t="s">
        <v>14</v>
      </c>
      <c r="DB59" s="1" t="s">
        <v>14</v>
      </c>
      <c r="DC59" s="1" t="s">
        <v>178</v>
      </c>
      <c r="DH59" s="8"/>
      <c r="DI59" s="8"/>
      <c r="DJ59" s="8"/>
      <c r="DK59" s="8"/>
      <c r="DL59" s="8"/>
      <c r="DM59" s="8"/>
      <c r="DN59" s="8"/>
      <c r="DO59" s="8"/>
    </row>
    <row r="60" spans="2:119" ht="30" customHeight="1" x14ac:dyDescent="0.55000000000000004">
      <c r="B60" s="84">
        <f>CV40</f>
        <v>0</v>
      </c>
      <c r="D60" s="85" t="str">
        <f>IF(B60=3,$DA$4,IF(B60=4,$DB$4,IF(B60=5,$DC$4,IF(B60=6,$DD$4,IF(B60=7,$DE$4,"")))))</f>
        <v/>
      </c>
      <c r="E60" s="85" t="str">
        <f>IF(B60=3,$DA$5,IF(B60=4,$DB$5,IF(B60=5,$DC$5,IF(B60=6,$DD$5,IF(B60=7,$DE$5,"")))))</f>
        <v/>
      </c>
      <c r="F60" s="85" t="str">
        <f>IF(B60=3,$DA$6,IF(B60=4,$DB$6,IF(B60=5,$DC$6,IF(B60=6,$DD$6,IF(B60=7,$DE$6,"")))))</f>
        <v/>
      </c>
      <c r="G60" s="86" t="s">
        <v>21</v>
      </c>
      <c r="H60" s="351" t="str">
        <f>IF(AND(I38=1,CV40&gt;0,I48="ANO"),CS5,IF(AND(I38=2,CV40&gt;0,I48="ANO"),CS5,IF(AND(I38=3,CV40&gt;0,I48="ANO"),CS5,IF(AND(I38=4,CV40&gt;0,I48="ANO"),CS5,IF(AND(I38=6,CV40&gt;0,I48="ANO"),CS5,IF(AND(I38=8,CV40&gt;0,I48="ANO"),CS5,""))))))</f>
        <v/>
      </c>
      <c r="I60" s="352"/>
      <c r="J60" s="87"/>
      <c r="K60" s="88"/>
      <c r="L60" s="89"/>
      <c r="M60" s="90"/>
      <c r="N60" s="91" t="str">
        <f>IF(AND(M60="",O60=""),"",":")</f>
        <v/>
      </c>
      <c r="O60" s="92"/>
      <c r="P60" s="90"/>
      <c r="Q60" s="91" t="str">
        <f>IF(AND(P60="",R60=""),"",":")</f>
        <v/>
      </c>
      <c r="R60" s="92"/>
      <c r="S60" s="90"/>
      <c r="T60" s="91" t="str">
        <f>IF(AND(S60="",U60=""),"",":")</f>
        <v/>
      </c>
      <c r="U60" s="92"/>
      <c r="V60" s="90"/>
      <c r="W60" s="91" t="str">
        <f>IF(AND(V60="",X60=""),"",":")</f>
        <v/>
      </c>
      <c r="X60" s="92"/>
      <c r="Y60" s="90"/>
      <c r="Z60" s="91" t="str">
        <f>IF(AND(Y60="",AA60=""),"",":")</f>
        <v/>
      </c>
      <c r="AA60" s="92"/>
      <c r="AB60" s="90"/>
      <c r="AC60" s="91" t="str">
        <f t="shared" ref="AC60:AC65" si="9">IF(AND(AB60="",AD60=""),"",":")</f>
        <v/>
      </c>
      <c r="AD60" s="92"/>
      <c r="AE60" s="353">
        <v>180</v>
      </c>
      <c r="AF60" s="354"/>
      <c r="AG60" s="355"/>
      <c r="AH60" s="93">
        <f>IF(M60&gt;O60,1)+IF(P60&gt;R60,1)+IF(S60&gt;U60,1)+IF(V60&gt;X60,1)+IF(Y60&gt;AA60,1)+IF(AB60&gt;AD60,1)</f>
        <v>0</v>
      </c>
      <c r="AI60" s="94" t="s">
        <v>197</v>
      </c>
      <c r="AJ60" s="95">
        <f>M60+P60+S60+V60+Y60+AB60</f>
        <v>0</v>
      </c>
      <c r="AK60" s="96" t="str">
        <f>IF(AND(AJ60="",AL60=""),"",":")</f>
        <v>:</v>
      </c>
      <c r="AL60" s="97">
        <f>O60+R60+U60+X60+AA60+AD60</f>
        <v>0</v>
      </c>
      <c r="AM60" s="98" t="str">
        <f t="shared" ref="AM60:AM66" si="10">COUNTIF($AH$60:$AH$66,"&gt;"&amp;AH60)+COUNTIFS($AH$60:$AH$66,AH60,$AN$60:$AN$66,"&gt;"&amp;AN60)+COUNTIFS($AH$60:$AH$66,AH60,$AN$60:$AN$66,AN60,$BD$60:$BD$66,"&gt;"&amp;BD60)+COUNTIFS($AH$60:$AH$66,AH60,$AN$60:$AN$66,AN60,$BD$60:$BD$66,BD60,$BO$60:$BO$66,"&lt;"&amp;BO60)+COUNTIFS($AH$60:$AH$66,AH60,$AN$60:$AN$66,AN60,$BD$60:$BD$66,BD60,$BO$60:$BO$66,BO60,$AP$60:$AP$66,"&lt;"&amp;AP60)+1 &amp;"."</f>
        <v>1.</v>
      </c>
      <c r="AN60" s="99" t="str">
        <f t="shared" ref="AN60:AN66" si="11">IF(AW60&gt;BH60,1,)+IF(AX60&gt;BI60,1)+IF(AY60&gt;BJ60,1)+IF(AZ60&gt;BK60,1)+IF(BA60&gt;BL60,1)+IF(BB60&gt;BM60,1)+IF(BC60&gt;BN60,1,)&amp;" b"</f>
        <v>0 b</v>
      </c>
      <c r="AO60" s="100" t="str">
        <f t="shared" ref="AO60:AO66" si="12">CONCATENATE("("&amp;(BD60),":",(BO60)&amp;")")</f>
        <v>(0:0)</v>
      </c>
      <c r="AP60" s="101" t="str">
        <f t="shared" ref="AP60:AP66" si="13">IF(AND(BS60=TRUE,BR60&lt;&gt;0),"?","")</f>
        <v/>
      </c>
      <c r="AQ60" s="102"/>
      <c r="AR60" s="103" t="str">
        <f t="shared" ref="AR60:AR66" si="14">RANK(AH60,$AH$60:$AH$66,0)&amp;"."</f>
        <v>1.</v>
      </c>
      <c r="AS60" s="102"/>
      <c r="AT60" s="104"/>
      <c r="AU60" s="104">
        <f t="shared" ref="AU60:AU66" si="15">IF(AW60&gt;BH60,1,)+IF(AX60&gt;BI60,1)+IF(AY60&gt;BJ60,1)+IF(AZ60&gt;BK60,1)+IF(BA60&gt;BL60,1)+IF(BB60&gt;BM60,1)+IF(BC60&gt;BN60,1,)</f>
        <v>0</v>
      </c>
      <c r="AV60" s="104">
        <f t="shared" ref="AV60:AV66" si="16">RANK(AH60,$AH$60:$AH$66,0)</f>
        <v>1</v>
      </c>
      <c r="AW60" s="105"/>
      <c r="AX60" s="106">
        <f>IF(AV60=AV61,M60,"")</f>
        <v>0</v>
      </c>
      <c r="AY60" s="105">
        <f>IF(AV60=AV62,P60,"")</f>
        <v>0</v>
      </c>
      <c r="AZ60" s="105">
        <f>IF(AV60=AV63,S60,"")</f>
        <v>0</v>
      </c>
      <c r="BA60" s="105">
        <f>IF(AV60=AV64,V60,"")</f>
        <v>0</v>
      </c>
      <c r="BB60" s="105">
        <f>IF(AV60=AV65,Y60,"")</f>
        <v>0</v>
      </c>
      <c r="BC60" s="105">
        <f>IF(AV60=AV66,AB60,"")</f>
        <v>0</v>
      </c>
      <c r="BD60" s="105">
        <f t="shared" ref="BD60:BD66" si="17">SUM(AW60:BC60)</f>
        <v>0</v>
      </c>
      <c r="BE60" s="105">
        <f t="shared" ref="BE60:BE66" si="18">IF(BD60=0,0,"1")</f>
        <v>0</v>
      </c>
      <c r="BF60" s="105"/>
      <c r="BG60" s="104">
        <f t="shared" ref="BG60:BG66" si="19">RANK(AH60,$AH$60:$AH$66,0)</f>
        <v>1</v>
      </c>
      <c r="BH60" s="105"/>
      <c r="BI60" s="105">
        <f>IF(AV60=AV61,O60,"")</f>
        <v>0</v>
      </c>
      <c r="BJ60" s="105">
        <f>IF(AV60=AV62,R60,"")</f>
        <v>0</v>
      </c>
      <c r="BK60" s="105">
        <f>IF(AV60=AV63,U60,"")</f>
        <v>0</v>
      </c>
      <c r="BL60" s="105">
        <f>IF(AV60=AV64,X60,"")</f>
        <v>0</v>
      </c>
      <c r="BM60" s="105">
        <f>IF(AV60=AV65,AA60,"")</f>
        <v>0</v>
      </c>
      <c r="BN60" s="105">
        <f>IF(AV60=AV66,AD60,"")</f>
        <v>0</v>
      </c>
      <c r="BO60" s="105">
        <f t="shared" ref="BO60:BO66" si="20">SUM(BH60:BN60)</f>
        <v>0</v>
      </c>
      <c r="BQ60" s="10" t="b">
        <f t="shared" ref="BQ60:BQ66" si="21">IF(COUNTIF($AH$60:$AH$66,1)=1,1,IF(COUNTIF($AH$60:$AH$66,2)=2,2,IF(COUNTIF($AH$60:$AH$66,3)=3,3,IF(COUNTIF($AH$60:$AH$66,4)=4,4,IF(COUNTIF($AH$60:$AH$66,5)=5,5)))))</f>
        <v>0</v>
      </c>
      <c r="BR60" s="10">
        <f>AH60*(BD60*100+AH60+BO60*3.14+AU60*22)*10</f>
        <v>0</v>
      </c>
      <c r="BS60" s="10" t="b">
        <f t="shared" ref="BS60:BS66" si="22">COUNTIF($BR$60:$BR$66,BR60)&gt;1</f>
        <v>1</v>
      </c>
      <c r="BT60" s="10">
        <f>COUNTIF($AH$60:$AH$66,1)</f>
        <v>0</v>
      </c>
      <c r="BU60" s="10">
        <f>COUNTIF($AH$60:$AH$66,2)</f>
        <v>0</v>
      </c>
      <c r="BV60" s="10">
        <f>COUNTIF($AH$60:$AH$66,3)</f>
        <v>0</v>
      </c>
      <c r="BW60" s="10">
        <f>COUNTIF($AH$60:$AH$66,4)</f>
        <v>0</v>
      </c>
      <c r="BX60" s="10">
        <f>COUNTIF($AH$60:$AH$66,5)</f>
        <v>0</v>
      </c>
      <c r="BY60" s="10"/>
      <c r="BZ60" s="10" t="str">
        <f t="shared" ref="BZ60:BZ66" si="23">IF(AND(BS60=TRUE,BR60&lt;&gt;0),"1","")</f>
        <v/>
      </c>
      <c r="CA60" s="107"/>
      <c r="CB60" s="104">
        <f t="shared" ref="CB60:CB66" si="24">RANK(AH60,$AH$60:$AH$66,0)</f>
        <v>1</v>
      </c>
      <c r="CC60" s="105"/>
      <c r="CD60" s="106">
        <f>IF(CB60=CB61,1,"")</f>
        <v>1</v>
      </c>
      <c r="CE60" s="106">
        <f>IF(CB60=CB62,1,"")</f>
        <v>1</v>
      </c>
      <c r="CF60" s="106">
        <f>IF(CB60=CB63,1,"")</f>
        <v>1</v>
      </c>
      <c r="CG60" s="106">
        <f>IF(CB60=CB64,1,"")</f>
        <v>1</v>
      </c>
      <c r="CH60" s="106">
        <f>IF(CB60=CB65,1,"")</f>
        <v>1</v>
      </c>
      <c r="CI60" s="106">
        <f>IF(CB60=CB66,1,"")</f>
        <v>1</v>
      </c>
      <c r="CJ60" s="105">
        <f t="shared" ref="CJ60:CJ66" si="25">SUM(CC60:CI60)</f>
        <v>6</v>
      </c>
      <c r="CK60" s="107"/>
      <c r="CN60" s="30">
        <v>56</v>
      </c>
      <c r="CO60" s="44">
        <f t="shared" si="4"/>
        <v>0</v>
      </c>
      <c r="CP60" s="27">
        <f t="shared" si="5"/>
        <v>0</v>
      </c>
      <c r="CQ60" s="32">
        <f t="shared" si="6"/>
        <v>0</v>
      </c>
      <c r="CR60" s="35">
        <v>56</v>
      </c>
      <c r="CS60" s="31" t="e">
        <f t="shared" si="0"/>
        <v>#N/A</v>
      </c>
      <c r="CX60" s="108" t="s">
        <v>198</v>
      </c>
      <c r="CY60" s="109" t="str">
        <f>AM60</f>
        <v>1.</v>
      </c>
      <c r="CZ60" s="110" t="str">
        <f>H60</f>
        <v/>
      </c>
      <c r="DA60" s="110"/>
      <c r="DB60" s="44" t="str">
        <f>IF(DE60&gt;0,VLOOKUP(DC60,$CY$60:$CZ$66,2,0),"")</f>
        <v/>
      </c>
      <c r="DC60" s="27" t="s">
        <v>199</v>
      </c>
      <c r="DE60" s="44">
        <f>IF(CZ60="",0,1)</f>
        <v>0</v>
      </c>
    </row>
    <row r="61" spans="2:119" ht="30" customHeight="1" x14ac:dyDescent="0.55000000000000004">
      <c r="D61" s="85" t="str">
        <f>IF(B60=4,$DB$7,IF(B60=5,$DC$7,IF(B60=6,$DD$7,IF(B60=7,$DE$7,""))))</f>
        <v/>
      </c>
      <c r="E61" s="85" t="str">
        <f>IF(B60=4,$DB$8,IF(B60=5,$DC$8,IF(B60=6,$DD$8,IF(B60=7,$DE$8,""))))</f>
        <v/>
      </c>
      <c r="F61" s="85" t="str">
        <f>IF(B60=4,$DB$9,IF(B60=5,$DC$9,IF(B60=6,$DD$9,IF(B60=7,$DE$9,""))))</f>
        <v/>
      </c>
      <c r="G61" s="86" t="s">
        <v>29</v>
      </c>
      <c r="H61" s="358" t="str">
        <f>IF(AND(I38=1,CV40&gt;0,I48="ANO"),CS6,IF(AND(I36&lt;&gt;4,I38=2,CV40&gt;2,I48="ANO"),CS7,IF(AND(I36=4,I38=2,CV40&gt;2,I48="ANO"),CS8,IF(AND(I36&lt;&gt;4,I38=3,CV40&gt;0,I48="ANO"),CS8,IF(AND(I36=4,I38=3,CV40&gt;0,I48="ANO"),CS9,IF(AND(I36&lt;&gt;8,I38=4,CV40&gt;0,I48="ANO"),CS9,IF(AND(I36=8,I38=4,CV40&gt;0,I48="ANO"),CS12,IF(AND(I36&lt;&gt;8,I38=6,CV40&gt;0,I48="ANO"),CS11,IF(AND(I36=8,I38=6,CV40&gt;0,I48="ANO"),CS13,IF(AND(I36&lt;&gt;16,I38=8,CV40&gt;0,I48="ANO"),CS13,IF(AND(I36=16,I38=8,CV40&gt;0,I48="ANO"),CS20,"")))))))))))</f>
        <v/>
      </c>
      <c r="I61" s="358"/>
      <c r="J61" s="111" t="str">
        <f>IF(O60="","",O60)</f>
        <v/>
      </c>
      <c r="K61" s="91" t="str">
        <f t="shared" ref="K61:K66" si="26">IF(AND(J61="",L61=""),"",":")</f>
        <v/>
      </c>
      <c r="L61" s="112" t="str">
        <f>IF(M60="","",M60)</f>
        <v/>
      </c>
      <c r="M61" s="87"/>
      <c r="N61" s="88"/>
      <c r="O61" s="89"/>
      <c r="P61" s="90"/>
      <c r="Q61" s="91" t="str">
        <f t="shared" ref="Q61:Q66" si="27">IF(AND(P61="",R61=""),"",":")</f>
        <v/>
      </c>
      <c r="R61" s="92"/>
      <c r="S61" s="90"/>
      <c r="T61" s="91" t="str">
        <f>IF(AND(S61="",U61=""),"",":")</f>
        <v/>
      </c>
      <c r="U61" s="92"/>
      <c r="V61" s="90"/>
      <c r="W61" s="91" t="str">
        <f>IF(AND(V61="",X61=""),"",":")</f>
        <v/>
      </c>
      <c r="X61" s="92"/>
      <c r="Y61" s="90"/>
      <c r="Z61" s="91" t="str">
        <f>IF(AND(Y61="",AA61=""),"",":")</f>
        <v/>
      </c>
      <c r="AA61" s="92"/>
      <c r="AB61" s="90"/>
      <c r="AC61" s="91" t="str">
        <f t="shared" si="9"/>
        <v/>
      </c>
      <c r="AD61" s="92"/>
      <c r="AE61" s="359" t="s">
        <v>284</v>
      </c>
      <c r="AF61" s="354"/>
      <c r="AG61" s="355"/>
      <c r="AH61" s="93">
        <f>IF(M60&lt;O60,1)+IF(P61&gt;R61,1)+IF(S61&gt;U61,1)+IF(V61&gt;X61,1)+IF(Y61&gt;AA61,1)+IF(AB61&gt;AD61,1)</f>
        <v>0</v>
      </c>
      <c r="AI61" s="94" t="s">
        <v>197</v>
      </c>
      <c r="AJ61" s="95">
        <f>O60+P61+S61+V61+Y61+AB61</f>
        <v>0</v>
      </c>
      <c r="AK61" s="96" t="str">
        <f t="shared" ref="AK61:AK66" si="28">IF(AND(AJ61="",AL61=""),"",":")</f>
        <v>:</v>
      </c>
      <c r="AL61" s="97">
        <f>M60+R61+U61+X61+AA61+AD61</f>
        <v>0</v>
      </c>
      <c r="AM61" s="98" t="str">
        <f t="shared" si="10"/>
        <v>1.</v>
      </c>
      <c r="AN61" s="99" t="str">
        <f t="shared" si="11"/>
        <v>0 b</v>
      </c>
      <c r="AO61" s="100" t="str">
        <f t="shared" si="12"/>
        <v>(0:0)</v>
      </c>
      <c r="AP61" s="101" t="str">
        <f t="shared" si="13"/>
        <v/>
      </c>
      <c r="AQ61" s="102"/>
      <c r="AR61" s="103" t="str">
        <f t="shared" si="14"/>
        <v>1.</v>
      </c>
      <c r="AS61" s="102"/>
      <c r="AT61" s="104"/>
      <c r="AU61" s="104">
        <f t="shared" si="15"/>
        <v>0</v>
      </c>
      <c r="AV61" s="104">
        <f t="shared" si="16"/>
        <v>1</v>
      </c>
      <c r="AW61" s="106">
        <f>IF(AV60=AV61,O60,"")</f>
        <v>0</v>
      </c>
      <c r="AX61" s="105"/>
      <c r="AY61" s="105">
        <f>IF(AV61=AV62,P61,"")</f>
        <v>0</v>
      </c>
      <c r="AZ61" s="105">
        <f>IF(AV61=AV63,S61,"")</f>
        <v>0</v>
      </c>
      <c r="BA61" s="105">
        <f>IF(AV61=AV64,V61,"")</f>
        <v>0</v>
      </c>
      <c r="BB61" s="105">
        <f>IF(AV61=AV65,Y61,"")</f>
        <v>0</v>
      </c>
      <c r="BC61" s="105">
        <f>IF(AV61=AV66,AB61,"")</f>
        <v>0</v>
      </c>
      <c r="BD61" s="105">
        <f t="shared" si="17"/>
        <v>0</v>
      </c>
      <c r="BE61" s="105">
        <f t="shared" si="18"/>
        <v>0</v>
      </c>
      <c r="BF61" s="105"/>
      <c r="BG61" s="104">
        <f t="shared" si="19"/>
        <v>1</v>
      </c>
      <c r="BH61" s="105">
        <f>IF(AV60=AV61,M60,"")</f>
        <v>0</v>
      </c>
      <c r="BI61" s="105"/>
      <c r="BJ61" s="105">
        <f>IF(AV61=AV62,R61,"")</f>
        <v>0</v>
      </c>
      <c r="BK61" s="105">
        <f>IF(AV61=AV63,U61,"")</f>
        <v>0</v>
      </c>
      <c r="BL61" s="105">
        <f>IF(AV61=AV64,X61,"")</f>
        <v>0</v>
      </c>
      <c r="BM61" s="105">
        <f>IF(AV61=AV65,AA61,"")</f>
        <v>0</v>
      </c>
      <c r="BN61" s="105">
        <f>IF(AV61=AV66,AD61,"")</f>
        <v>0</v>
      </c>
      <c r="BO61" s="105">
        <f t="shared" si="20"/>
        <v>0</v>
      </c>
      <c r="BQ61" s="10" t="b">
        <f t="shared" si="21"/>
        <v>0</v>
      </c>
      <c r="BR61" s="10">
        <f t="shared" ref="BR61:BR66" si="29">AH61*(BD61*100+AH61+BO61*3.14+AU61*22)*10</f>
        <v>0</v>
      </c>
      <c r="BS61" s="10" t="b">
        <f t="shared" si="22"/>
        <v>1</v>
      </c>
      <c r="BT61" s="10">
        <f>IF(BT60&gt;=2,1,0)</f>
        <v>0</v>
      </c>
      <c r="BU61" s="10">
        <f>IF(BU60&gt;=2,1,0)</f>
        <v>0</v>
      </c>
      <c r="BV61" s="10">
        <f>IF(BV60&gt;=2,1,0)</f>
        <v>0</v>
      </c>
      <c r="BW61" s="10">
        <f>IF(BW60&gt;=2,1,0)</f>
        <v>0</v>
      </c>
      <c r="BX61" s="10">
        <f>IF(BX60&gt;=2,1,0)</f>
        <v>0</v>
      </c>
      <c r="BY61" s="10"/>
      <c r="BZ61" s="10" t="str">
        <f t="shared" si="23"/>
        <v/>
      </c>
      <c r="CA61" s="107"/>
      <c r="CB61" s="104">
        <f t="shared" si="24"/>
        <v>1</v>
      </c>
      <c r="CC61" s="106"/>
      <c r="CD61" s="105"/>
      <c r="CE61" s="106">
        <f>IF(CB61=CB62,1,"")</f>
        <v>1</v>
      </c>
      <c r="CF61" s="106">
        <f>IF(CB61=CB63,1,"")</f>
        <v>1</v>
      </c>
      <c r="CG61" s="106">
        <f>IF(CB61=CB64,1,"")</f>
        <v>1</v>
      </c>
      <c r="CH61" s="106">
        <f>IF(CB61=CB65,1,"")</f>
        <v>1</v>
      </c>
      <c r="CI61" s="106">
        <f>IF(CB61=CB66,1,"")</f>
        <v>1</v>
      </c>
      <c r="CJ61" s="105">
        <f t="shared" si="25"/>
        <v>5</v>
      </c>
      <c r="CK61" s="107"/>
      <c r="CN61" s="310" t="s">
        <v>200</v>
      </c>
      <c r="CO61" s="312"/>
      <c r="CP61" s="44">
        <f>COUNTIF(CP5:CP60,"&lt;&gt;0")</f>
        <v>0</v>
      </c>
      <c r="CR61" s="31" t="s">
        <v>201</v>
      </c>
      <c r="CS61" s="44" t="str">
        <f>IF(CP61=0,"není nasazen nikdo.",IF(CP61&lt;9,"jsou nasazeni 2 hráči.",IF(CP61&lt;17,"jsou nasazeni 4 hráči.",IF(CP61&lt;33,"je nasazeno 8 hráčů.",IF(CP61&lt;65,"je nasazeno 16 hráčů.")))))</f>
        <v>není nasazen nikdo.</v>
      </c>
      <c r="CY61" s="109" t="str">
        <f t="shared" ref="CY61:CY66" si="30">AM61</f>
        <v>1.</v>
      </c>
      <c r="CZ61" s="110" t="str">
        <f t="shared" ref="CZ61:CZ66" si="31">H61</f>
        <v/>
      </c>
      <c r="DA61" s="110"/>
      <c r="DB61" s="44" t="str">
        <f t="shared" ref="DB61:DB66" si="32">IF(DE61&gt;0,VLOOKUP(DC61,$CY$60:$CZ$66,2,0),"")</f>
        <v/>
      </c>
      <c r="DC61" s="27" t="s">
        <v>202</v>
      </c>
      <c r="DE61" s="44">
        <f t="shared" ref="DE61:DE66" si="33">IF(CZ61="",0,1)</f>
        <v>0</v>
      </c>
    </row>
    <row r="62" spans="2:119" ht="30" customHeight="1" x14ac:dyDescent="0.55000000000000004">
      <c r="D62" s="85" t="str">
        <f>IF(B60=5,$DC$10,IF(B60=6,$DD$10,IF(B60=7,$DE$10,"")))</f>
        <v/>
      </c>
      <c r="E62" s="85" t="str">
        <f>IF(B60=5,$DC$11,IF(B60=6,$DD$11,IF(B60=7,$DE$11,"")))</f>
        <v/>
      </c>
      <c r="F62" s="85" t="str">
        <f>IF(B60=5,$DC$12,IF(B60=6,$DD$12,IF(B60=7,$DE$12,"")))</f>
        <v/>
      </c>
      <c r="G62" s="86" t="s">
        <v>36</v>
      </c>
      <c r="H62" s="358" t="str">
        <f>IF(AND(I38=1,CV40&gt;0,I48="ANO"),CS7,IF(AND(I38=2,CV40&gt;2,I48="ANO"),CS9,IF(AND(I38=3,CV40&gt;0,I48="ANO"),CS11,IF(AND(I38=4,CV40&gt;0,I48="ANO"),CS13,IF(AND(I38=6,CV40&gt;0,I48="ANO"),CS17,IF(AND(I38=8,CV40&gt;0,I48="ANO"),CS21,""))))))</f>
        <v/>
      </c>
      <c r="I62" s="358"/>
      <c r="J62" s="111" t="str">
        <f>IF(R60="","",R60)</f>
        <v/>
      </c>
      <c r="K62" s="91" t="str">
        <f t="shared" si="26"/>
        <v/>
      </c>
      <c r="L62" s="112" t="str">
        <f>IF(P60="","",P60)</f>
        <v/>
      </c>
      <c r="M62" s="111" t="str">
        <f>IF(R61="","",R61)</f>
        <v/>
      </c>
      <c r="N62" s="91" t="str">
        <f>IF(AND(M62="",O62=""),"",":")</f>
        <v/>
      </c>
      <c r="O62" s="112" t="str">
        <f>IF(P61="","",P61)</f>
        <v/>
      </c>
      <c r="P62" s="87"/>
      <c r="Q62" s="88"/>
      <c r="R62" s="89"/>
      <c r="S62" s="90"/>
      <c r="T62" s="91" t="str">
        <f>IF(AND(S62="",U62=""),"",":")</f>
        <v/>
      </c>
      <c r="U62" s="92"/>
      <c r="V62" s="90"/>
      <c r="W62" s="91" t="str">
        <f>IF(AND(V62="",X62=""),"",":")</f>
        <v/>
      </c>
      <c r="X62" s="92"/>
      <c r="Y62" s="90"/>
      <c r="Z62" s="91" t="str">
        <f>IF(AND(Y62="",AA62=""),"",":")</f>
        <v/>
      </c>
      <c r="AA62" s="92"/>
      <c r="AB62" s="90"/>
      <c r="AC62" s="91" t="str">
        <f t="shared" si="9"/>
        <v/>
      </c>
      <c r="AD62" s="92"/>
      <c r="AE62" s="359" t="s">
        <v>285</v>
      </c>
      <c r="AF62" s="354"/>
      <c r="AG62" s="355"/>
      <c r="AH62" s="93">
        <f>IF(R60&gt;P60,1)+IF(R61&gt;P61,1)+IF(S62&gt;U62,1)+IF(V62&gt;X62,1)+IF(Y62&gt;AA62,1)+IF(AB62&gt;AD62,1)</f>
        <v>0</v>
      </c>
      <c r="AI62" s="94" t="s">
        <v>197</v>
      </c>
      <c r="AJ62" s="95">
        <f>R60+R61+S62+V62+Y62+AB62</f>
        <v>0</v>
      </c>
      <c r="AK62" s="96" t="str">
        <f t="shared" si="28"/>
        <v>:</v>
      </c>
      <c r="AL62" s="97">
        <f>P60+P61+U62+X62+AA62+AD62</f>
        <v>0</v>
      </c>
      <c r="AM62" s="98" t="str">
        <f t="shared" si="10"/>
        <v>1.</v>
      </c>
      <c r="AN62" s="99" t="str">
        <f t="shared" si="11"/>
        <v>0 b</v>
      </c>
      <c r="AO62" s="100" t="str">
        <f t="shared" si="12"/>
        <v>(0:0)</v>
      </c>
      <c r="AP62" s="101" t="str">
        <f t="shared" si="13"/>
        <v/>
      </c>
      <c r="AQ62" s="102"/>
      <c r="AR62" s="103" t="str">
        <f t="shared" si="14"/>
        <v>1.</v>
      </c>
      <c r="AS62" s="102"/>
      <c r="AT62" s="104"/>
      <c r="AU62" s="104">
        <f t="shared" si="15"/>
        <v>0</v>
      </c>
      <c r="AV62" s="104">
        <f t="shared" si="16"/>
        <v>1</v>
      </c>
      <c r="AW62" s="106">
        <f>IF(AV60=AV62,R60,"")</f>
        <v>0</v>
      </c>
      <c r="AX62" s="105">
        <f>IF(AV61=AV62,R61,"")</f>
        <v>0</v>
      </c>
      <c r="AY62" s="105"/>
      <c r="AZ62" s="105">
        <f>IF(AV62=AV63,S62,"")</f>
        <v>0</v>
      </c>
      <c r="BA62" s="105">
        <f>IF(AV62=AV64,V62,"")</f>
        <v>0</v>
      </c>
      <c r="BB62" s="105">
        <f>IF(AV62=AV65,Y62,"")</f>
        <v>0</v>
      </c>
      <c r="BC62" s="105">
        <f>IF(AV62=AV66,AB62,"")</f>
        <v>0</v>
      </c>
      <c r="BD62" s="105">
        <f t="shared" si="17"/>
        <v>0</v>
      </c>
      <c r="BE62" s="105">
        <f t="shared" si="18"/>
        <v>0</v>
      </c>
      <c r="BF62" s="105"/>
      <c r="BG62" s="104">
        <f t="shared" si="19"/>
        <v>1</v>
      </c>
      <c r="BH62" s="105">
        <f>IF(AV60=AV62,P60,"")</f>
        <v>0</v>
      </c>
      <c r="BI62" s="105">
        <f>IF(AV61=AV62,P61,"")</f>
        <v>0</v>
      </c>
      <c r="BJ62" s="105"/>
      <c r="BK62" s="105">
        <f>IF(AV62=AV63,U62,"")</f>
        <v>0</v>
      </c>
      <c r="BL62" s="105">
        <f>IF(AV62=AV64,X62,"")</f>
        <v>0</v>
      </c>
      <c r="BM62" s="105">
        <f>IF(AV62=AV65,AA62,"")</f>
        <v>0</v>
      </c>
      <c r="BN62" s="105">
        <f>IF(AV62=AV66,AD62,"")</f>
        <v>0</v>
      </c>
      <c r="BO62" s="105">
        <f t="shared" si="20"/>
        <v>0</v>
      </c>
      <c r="BQ62" s="10" t="b">
        <f t="shared" si="21"/>
        <v>0</v>
      </c>
      <c r="BR62" s="10">
        <f t="shared" si="29"/>
        <v>0</v>
      </c>
      <c r="BS62" s="10" t="b">
        <f t="shared" si="22"/>
        <v>1</v>
      </c>
      <c r="BT62" s="10">
        <v>1</v>
      </c>
      <c r="BU62" s="10">
        <v>2</v>
      </c>
      <c r="BV62" s="10">
        <v>3</v>
      </c>
      <c r="BW62" s="10">
        <v>4</v>
      </c>
      <c r="BX62" s="10">
        <v>5</v>
      </c>
      <c r="BY62" s="10"/>
      <c r="BZ62" s="10" t="str">
        <f t="shared" si="23"/>
        <v/>
      </c>
      <c r="CA62" s="107"/>
      <c r="CB62" s="104">
        <f t="shared" si="24"/>
        <v>1</v>
      </c>
      <c r="CC62" s="106"/>
      <c r="CD62" s="105"/>
      <c r="CE62" s="105"/>
      <c r="CF62" s="106">
        <f>IF(CB62=CB63,1,"")</f>
        <v>1</v>
      </c>
      <c r="CG62" s="106">
        <f>IF(CB62=CB64,1,"")</f>
        <v>1</v>
      </c>
      <c r="CH62" s="106">
        <f>IF(CB62=CB65,1,"")</f>
        <v>1</v>
      </c>
      <c r="CI62" s="106">
        <f>IF(CB62=CB66,1,"")</f>
        <v>1</v>
      </c>
      <c r="CJ62" s="105">
        <f t="shared" si="25"/>
        <v>4</v>
      </c>
      <c r="CK62" s="107"/>
      <c r="CY62" s="109" t="str">
        <f t="shared" si="30"/>
        <v>1.</v>
      </c>
      <c r="CZ62" s="110" t="str">
        <f t="shared" si="31"/>
        <v/>
      </c>
      <c r="DA62" s="110"/>
      <c r="DB62" s="44" t="str">
        <f t="shared" si="32"/>
        <v/>
      </c>
      <c r="DC62" s="27" t="s">
        <v>203</v>
      </c>
      <c r="DE62" s="44">
        <f t="shared" si="33"/>
        <v>0</v>
      </c>
    </row>
    <row r="63" spans="2:119" ht="30" customHeight="1" x14ac:dyDescent="0.55000000000000004">
      <c r="D63" s="85" t="str">
        <f>IF(B60=5,$DC$13,IF(B60=6,$DD$13,IF(B60=7,$DE$13,"")))</f>
        <v/>
      </c>
      <c r="E63" s="85" t="str">
        <f>IF(B60=6,$DD$14,IF(B60=7,$DE$14,""))</f>
        <v/>
      </c>
      <c r="F63" s="85" t="str">
        <f>IF(B60=6,$DD$15,IF(B60=7,$DE$15,""))</f>
        <v/>
      </c>
      <c r="G63" s="86" t="s">
        <v>4</v>
      </c>
      <c r="H63" s="358" t="str">
        <f>IF(AND(I38=1,CV40&gt;3,I48="ANO"),CS8,IF(AND(I38=2,CV40&gt;3,I48="ANO"),CS11,IF(AND(I38=3,CV40&gt;3,I48="ANO"),CS14,IF(AND(I38=4,CV40&gt;3,I48="ANO"),CS17,IF(AND(I38=6,CV40&gt;3,I48="ANO"),CS23,IF(AND(I38=8,CV40&gt;3,I48="ANO"),CS29,""))))))</f>
        <v/>
      </c>
      <c r="I63" s="358"/>
      <c r="J63" s="111" t="str">
        <f>IF(U60="","",U60)</f>
        <v/>
      </c>
      <c r="K63" s="91" t="str">
        <f t="shared" si="26"/>
        <v/>
      </c>
      <c r="L63" s="112" t="str">
        <f>IF(S60="","",S60)</f>
        <v/>
      </c>
      <c r="M63" s="111" t="str">
        <f>IF(U61="","",U61)</f>
        <v/>
      </c>
      <c r="N63" s="91" t="str">
        <f>IF(AND(M63="",O63=""),"",":")</f>
        <v/>
      </c>
      <c r="O63" s="112" t="str">
        <f>IF(S61="","",S61)</f>
        <v/>
      </c>
      <c r="P63" s="111" t="str">
        <f>IF(U62="","",U62)</f>
        <v/>
      </c>
      <c r="Q63" s="91" t="str">
        <f t="shared" si="27"/>
        <v/>
      </c>
      <c r="R63" s="112" t="str">
        <f>IF(S62="","",S62)</f>
        <v/>
      </c>
      <c r="S63" s="87"/>
      <c r="T63" s="88"/>
      <c r="U63" s="89"/>
      <c r="V63" s="90"/>
      <c r="W63" s="91" t="str">
        <f>IF(AND(V63="",X63=""),"",":")</f>
        <v/>
      </c>
      <c r="X63" s="92"/>
      <c r="Y63" s="90"/>
      <c r="Z63" s="91" t="str">
        <f>IF(AND(Y63="",AA63=""),"",":")</f>
        <v/>
      </c>
      <c r="AA63" s="92"/>
      <c r="AB63" s="90"/>
      <c r="AC63" s="91" t="str">
        <f t="shared" si="9"/>
        <v/>
      </c>
      <c r="AD63" s="92"/>
      <c r="AE63" s="353" t="s">
        <v>281</v>
      </c>
      <c r="AF63" s="354"/>
      <c r="AG63" s="355"/>
      <c r="AH63" s="93">
        <f>IF(U60&gt;S60,1)+IF(U61&gt;S61,1)+IF(U62&gt;S62,1)+IF(V63&gt;X63,1)+IF(Y63&gt;AA63,1)+IF(AB63&gt;AD63,1)</f>
        <v>0</v>
      </c>
      <c r="AI63" s="94" t="s">
        <v>197</v>
      </c>
      <c r="AJ63" s="95">
        <f>U60+U61+U62+V63+Y63+AB63</f>
        <v>0</v>
      </c>
      <c r="AK63" s="96" t="str">
        <f t="shared" si="28"/>
        <v>:</v>
      </c>
      <c r="AL63" s="97">
        <f>S60+S61+S62+X63+AA63+AD63</f>
        <v>0</v>
      </c>
      <c r="AM63" s="98" t="str">
        <f t="shared" si="10"/>
        <v>1.</v>
      </c>
      <c r="AN63" s="99" t="str">
        <f t="shared" si="11"/>
        <v>0 b</v>
      </c>
      <c r="AO63" s="100" t="str">
        <f t="shared" si="12"/>
        <v>(0:0)</v>
      </c>
      <c r="AP63" s="101" t="str">
        <f t="shared" si="13"/>
        <v/>
      </c>
      <c r="AQ63" s="102"/>
      <c r="AR63" s="103" t="str">
        <f t="shared" si="14"/>
        <v>1.</v>
      </c>
      <c r="AS63" s="102"/>
      <c r="AT63" s="104"/>
      <c r="AU63" s="104">
        <f t="shared" si="15"/>
        <v>0</v>
      </c>
      <c r="AV63" s="104">
        <f t="shared" si="16"/>
        <v>1</v>
      </c>
      <c r="AW63" s="106">
        <f>IF(AV60=AV63,U60,"")</f>
        <v>0</v>
      </c>
      <c r="AX63" s="105">
        <f>IF(AV61=AV63,U61,"")</f>
        <v>0</v>
      </c>
      <c r="AY63" s="105">
        <f>IF(AV62=AV63,U62,"")</f>
        <v>0</v>
      </c>
      <c r="AZ63" s="105"/>
      <c r="BA63" s="105">
        <f>IF(AV63=AV64,V63,"")</f>
        <v>0</v>
      </c>
      <c r="BB63" s="105">
        <f>IF(AV63=AV65,Y63,"")</f>
        <v>0</v>
      </c>
      <c r="BC63" s="105">
        <f>IF(AV63=AV66,AB63,"")</f>
        <v>0</v>
      </c>
      <c r="BD63" s="105">
        <f t="shared" si="17"/>
        <v>0</v>
      </c>
      <c r="BE63" s="105">
        <f t="shared" si="18"/>
        <v>0</v>
      </c>
      <c r="BF63" s="105"/>
      <c r="BG63" s="104">
        <f t="shared" si="19"/>
        <v>1</v>
      </c>
      <c r="BH63" s="105">
        <f>IF(AV60=AV63,S60,"")</f>
        <v>0</v>
      </c>
      <c r="BI63" s="105">
        <f>IF(AV61=AV63,S61,"")</f>
        <v>0</v>
      </c>
      <c r="BJ63" s="105">
        <f>IF(AV62=AV63,S62,"")</f>
        <v>0</v>
      </c>
      <c r="BK63" s="105"/>
      <c r="BL63" s="105">
        <f>IF(AV63=AV64,X63,"")</f>
        <v>0</v>
      </c>
      <c r="BM63" s="105">
        <f>IF(AV63=AV65,AA63,"")</f>
        <v>0</v>
      </c>
      <c r="BN63" s="105">
        <f>IF(AV63=AV66,AD63,"")</f>
        <v>0</v>
      </c>
      <c r="BO63" s="105">
        <f t="shared" si="20"/>
        <v>0</v>
      </c>
      <c r="BQ63" s="10" t="b">
        <f t="shared" si="21"/>
        <v>0</v>
      </c>
      <c r="BR63" s="10">
        <f t="shared" si="29"/>
        <v>0</v>
      </c>
      <c r="BS63" s="10" t="b">
        <f t="shared" si="22"/>
        <v>1</v>
      </c>
      <c r="BT63" s="10">
        <f>BT61*BT62</f>
        <v>0</v>
      </c>
      <c r="BU63" s="10">
        <f>BU61*BU62</f>
        <v>0</v>
      </c>
      <c r="BV63" s="10">
        <f>BV61*BV62</f>
        <v>0</v>
      </c>
      <c r="BW63" s="10">
        <f>BW61*BW62</f>
        <v>0</v>
      </c>
      <c r="BX63" s="10">
        <f>BX61*BX62</f>
        <v>0</v>
      </c>
      <c r="BY63" s="10"/>
      <c r="BZ63" s="10" t="str">
        <f t="shared" si="23"/>
        <v/>
      </c>
      <c r="CA63" s="107"/>
      <c r="CB63" s="104">
        <f t="shared" si="24"/>
        <v>1</v>
      </c>
      <c r="CC63" s="106"/>
      <c r="CD63" s="105"/>
      <c r="CE63" s="105"/>
      <c r="CF63" s="105"/>
      <c r="CG63" s="106">
        <f>IF(CB63=CB64,1,"")</f>
        <v>1</v>
      </c>
      <c r="CH63" s="106">
        <f>IF(CB63=CB65,1,"")</f>
        <v>1</v>
      </c>
      <c r="CI63" s="106">
        <f>IF(CB63=CB66,1,"")</f>
        <v>1</v>
      </c>
      <c r="CJ63" s="105">
        <f t="shared" si="25"/>
        <v>3</v>
      </c>
      <c r="CK63" s="107"/>
      <c r="CY63" s="109" t="str">
        <f t="shared" si="30"/>
        <v>1.</v>
      </c>
      <c r="CZ63" s="110" t="str">
        <f t="shared" si="31"/>
        <v/>
      </c>
      <c r="DA63" s="110"/>
      <c r="DB63" s="44" t="str">
        <f t="shared" si="32"/>
        <v/>
      </c>
      <c r="DC63" s="27" t="s">
        <v>204</v>
      </c>
      <c r="DE63" s="44">
        <f t="shared" si="33"/>
        <v>0</v>
      </c>
    </row>
    <row r="64" spans="2:119" ht="30" customHeight="1" x14ac:dyDescent="0.55000000000000004">
      <c r="D64" s="85" t="str">
        <f>IF(B60=6,$DD$16,IF(B60=7,$DE$16,""))</f>
        <v/>
      </c>
      <c r="E64" s="85" t="str">
        <f>IF(B60=6,$DD$17,IF(B60=7,$DE$17,""))</f>
        <v/>
      </c>
      <c r="F64" s="85" t="str">
        <f>IF(B60=6,$DD$18,IF(B60=7,$DE$18,""))</f>
        <v/>
      </c>
      <c r="G64" s="86" t="s">
        <v>5</v>
      </c>
      <c r="H64" s="358" t="str">
        <f>IF(AND(I38=1,CV40&gt;4,I48="ANO"),CS9,IF(AND(I38=2,CV40&gt;4,I48="ANO"),CS13,IF(AND(I38=3,CV40&gt;4,I48="ANO"),CS17,IF(AND(I38=4,CV40&gt;4,I48="ANO"),CS21,IF(AND(I38=6,CV40&gt;4,I48="ANO"),CS29,IF(AND(I38=8,CV40&gt;4,I48="ANO"),CS37,""))))))</f>
        <v/>
      </c>
      <c r="I64" s="358"/>
      <c r="J64" s="111" t="str">
        <f>IF(X60="","",X60)</f>
        <v/>
      </c>
      <c r="K64" s="91" t="str">
        <f t="shared" si="26"/>
        <v/>
      </c>
      <c r="L64" s="112" t="str">
        <f>IF(V60="","",V60)</f>
        <v/>
      </c>
      <c r="M64" s="111" t="str">
        <f>IF(X61="","",X61)</f>
        <v/>
      </c>
      <c r="N64" s="91" t="str">
        <f>IF(AND(M64="",O64=""),"",":")</f>
        <v/>
      </c>
      <c r="O64" s="112" t="str">
        <f>IF(V61="","",V61)</f>
        <v/>
      </c>
      <c r="P64" s="111" t="str">
        <f>IF(X62="","",X62)</f>
        <v/>
      </c>
      <c r="Q64" s="91" t="str">
        <f t="shared" si="27"/>
        <v/>
      </c>
      <c r="R64" s="112" t="str">
        <f>IF(V62="","",V62)</f>
        <v/>
      </c>
      <c r="S64" s="111" t="str">
        <f>IF(X63="","",X63)</f>
        <v/>
      </c>
      <c r="T64" s="91" t="str">
        <f>IF(AND(S64="",U64=""),"",":")</f>
        <v/>
      </c>
      <c r="U64" s="112" t="str">
        <f>IF(V63="","",V63)</f>
        <v/>
      </c>
      <c r="V64" s="87"/>
      <c r="W64" s="88"/>
      <c r="X64" s="89"/>
      <c r="Y64" s="90"/>
      <c r="Z64" s="91" t="str">
        <f>IF(AND(Y64="",AA64=""),"",":")</f>
        <v/>
      </c>
      <c r="AA64" s="92"/>
      <c r="AB64" s="90"/>
      <c r="AC64" s="91" t="str">
        <f t="shared" si="9"/>
        <v/>
      </c>
      <c r="AD64" s="92"/>
      <c r="AE64" s="359" t="s">
        <v>286</v>
      </c>
      <c r="AF64" s="354"/>
      <c r="AG64" s="355"/>
      <c r="AH64" s="93">
        <f>IF(X60&gt;V60,1)+IF(X61&gt;V61,1)+IF(X62&gt;V62,1)+IF(X63&gt;V63,1)+IF(Y64&gt;AA64,1)+IF(AB64&gt;AD64,1)</f>
        <v>0</v>
      </c>
      <c r="AI64" s="94" t="s">
        <v>197</v>
      </c>
      <c r="AJ64" s="95">
        <f>X60+X61+X62+X63+Y64+AB64</f>
        <v>0</v>
      </c>
      <c r="AK64" s="96" t="str">
        <f t="shared" si="28"/>
        <v>:</v>
      </c>
      <c r="AL64" s="97">
        <f>V60+V61+V62+V63+AA64+AD64</f>
        <v>0</v>
      </c>
      <c r="AM64" s="98" t="str">
        <f t="shared" si="10"/>
        <v>1.</v>
      </c>
      <c r="AN64" s="99" t="str">
        <f t="shared" si="11"/>
        <v>0 b</v>
      </c>
      <c r="AO64" s="100" t="str">
        <f t="shared" si="12"/>
        <v>(0:0)</v>
      </c>
      <c r="AP64" s="101" t="str">
        <f t="shared" si="13"/>
        <v/>
      </c>
      <c r="AQ64" s="102"/>
      <c r="AR64" s="103" t="str">
        <f t="shared" si="14"/>
        <v>1.</v>
      </c>
      <c r="AS64" s="102"/>
      <c r="AT64" s="104"/>
      <c r="AU64" s="104">
        <f t="shared" si="15"/>
        <v>0</v>
      </c>
      <c r="AV64" s="104">
        <f t="shared" si="16"/>
        <v>1</v>
      </c>
      <c r="AW64" s="106">
        <f>IF(AV60=AV64,X60,"")</f>
        <v>0</v>
      </c>
      <c r="AX64" s="105">
        <f>IF(AV61=AV64,X61,"")</f>
        <v>0</v>
      </c>
      <c r="AY64" s="105">
        <f>IF(AV62=AV64,X62,"")</f>
        <v>0</v>
      </c>
      <c r="AZ64" s="105">
        <f>IF(AV63=AV64,X63,"")</f>
        <v>0</v>
      </c>
      <c r="BA64" s="105"/>
      <c r="BB64" s="105">
        <f>IF(AV64=AV65,Y64,"")</f>
        <v>0</v>
      </c>
      <c r="BC64" s="105">
        <f>IF(AV64=AV66,AB64,"")</f>
        <v>0</v>
      </c>
      <c r="BD64" s="105">
        <f t="shared" si="17"/>
        <v>0</v>
      </c>
      <c r="BE64" s="105">
        <f t="shared" si="18"/>
        <v>0</v>
      </c>
      <c r="BF64" s="105"/>
      <c r="BG64" s="104">
        <f t="shared" si="19"/>
        <v>1</v>
      </c>
      <c r="BH64" s="105">
        <f>IF(AV60=AV64,V60,"")</f>
        <v>0</v>
      </c>
      <c r="BI64" s="105">
        <f>IF(AV61=AV64,V61,"")</f>
        <v>0</v>
      </c>
      <c r="BJ64" s="105">
        <f>IF(AV62=AV64,V62,"")</f>
        <v>0</v>
      </c>
      <c r="BK64" s="105">
        <f>IF(AV63=AV64,V63,"")</f>
        <v>0</v>
      </c>
      <c r="BL64" s="105"/>
      <c r="BM64" s="105">
        <f>IF(AV64=AV65,AA64,"")</f>
        <v>0</v>
      </c>
      <c r="BN64" s="105">
        <f>IF(AV64=AV66,AD64,"")</f>
        <v>0</v>
      </c>
      <c r="BO64" s="105">
        <f t="shared" si="20"/>
        <v>0</v>
      </c>
      <c r="BQ64" s="10" t="b">
        <f t="shared" si="21"/>
        <v>0</v>
      </c>
      <c r="BR64" s="10">
        <f t="shared" si="29"/>
        <v>0</v>
      </c>
      <c r="BS64" s="10" t="b">
        <f t="shared" si="22"/>
        <v>1</v>
      </c>
      <c r="BT64" s="113" t="str">
        <f>IF(BT63=0,"",BT63)</f>
        <v/>
      </c>
      <c r="BU64" s="114" t="str">
        <f>IF(BU63=0,"",BU63)</f>
        <v/>
      </c>
      <c r="BV64" s="115" t="str">
        <f>IF(BV63=0,"",BV63)</f>
        <v/>
      </c>
      <c r="BW64" s="116" t="str">
        <f>IF(BW63=0,"",BW63)</f>
        <v/>
      </c>
      <c r="BX64" s="117" t="str">
        <f>IF(BX63=0,"",BX63)</f>
        <v/>
      </c>
      <c r="BY64" s="10"/>
      <c r="BZ64" s="10" t="str">
        <f t="shared" si="23"/>
        <v/>
      </c>
      <c r="CA64" s="107"/>
      <c r="CB64" s="104">
        <f t="shared" si="24"/>
        <v>1</v>
      </c>
      <c r="CC64" s="106"/>
      <c r="CD64" s="105"/>
      <c r="CE64" s="105"/>
      <c r="CF64" s="105"/>
      <c r="CG64" s="105"/>
      <c r="CH64" s="106">
        <f>IF(CB64=CB65,1,"")</f>
        <v>1</v>
      </c>
      <c r="CI64" s="106">
        <f>IF(CB64=CB66,1,"")</f>
        <v>1</v>
      </c>
      <c r="CJ64" s="105">
        <f t="shared" si="25"/>
        <v>2</v>
      </c>
      <c r="CK64" s="107"/>
      <c r="CY64" s="109" t="str">
        <f t="shared" si="30"/>
        <v>1.</v>
      </c>
      <c r="CZ64" s="110" t="str">
        <f t="shared" si="31"/>
        <v/>
      </c>
      <c r="DA64" s="110"/>
      <c r="DB64" s="44" t="str">
        <f t="shared" si="32"/>
        <v/>
      </c>
      <c r="DC64" s="27" t="s">
        <v>205</v>
      </c>
      <c r="DE64" s="44">
        <f t="shared" si="33"/>
        <v>0</v>
      </c>
    </row>
    <row r="65" spans="2:113" ht="30" customHeight="1" x14ac:dyDescent="0.55000000000000004">
      <c r="D65" s="85" t="str">
        <f>IF(B60=7,$DE$19,"")</f>
        <v/>
      </c>
      <c r="E65" s="85" t="str">
        <f>IF(B60=7,$DE$20,"")</f>
        <v/>
      </c>
      <c r="F65" s="85" t="str">
        <f>IF(B60=7,$DE$21,"")</f>
        <v/>
      </c>
      <c r="G65" s="86" t="s">
        <v>6</v>
      </c>
      <c r="H65" s="358" t="str">
        <f>IF(AND(I38=1,CV40&gt;5,I48="ANO"),CS10,IF(AND(I38=2,CV40&gt;5,I48="ANO"),CS15,IF(AND(I38=3,CV40&gt;5,I48="ANO"),CS20,IF(AND(I38=4,CV40&gt;5,I48="ANO"),CS25,IF(AND(I38=6,CV40&gt;5,I48="ANO"),CS35,IF(AND(I38=8,CV40&gt;5,I48="ANO"),CS45,""))))))</f>
        <v/>
      </c>
      <c r="I65" s="358"/>
      <c r="J65" s="111" t="str">
        <f>IF(AA60="","",AA60)</f>
        <v/>
      </c>
      <c r="K65" s="91" t="str">
        <f t="shared" si="26"/>
        <v/>
      </c>
      <c r="L65" s="112" t="str">
        <f>IF(Y60="","",Y60)</f>
        <v/>
      </c>
      <c r="M65" s="111" t="str">
        <f>IF(AA61="","",AA61)</f>
        <v/>
      </c>
      <c r="N65" s="91" t="str">
        <f>IF(AND(M65="",O65=""),"",":")</f>
        <v/>
      </c>
      <c r="O65" s="112" t="str">
        <f>IF(Y61="","",Y61)</f>
        <v/>
      </c>
      <c r="P65" s="111" t="str">
        <f>IF(AA62="","",AA62)</f>
        <v/>
      </c>
      <c r="Q65" s="91" t="str">
        <f t="shared" si="27"/>
        <v/>
      </c>
      <c r="R65" s="112" t="str">
        <f>IF(Y62="","",Y62)</f>
        <v/>
      </c>
      <c r="S65" s="111" t="str">
        <f>IF(AA63="","",AA63)</f>
        <v/>
      </c>
      <c r="T65" s="91" t="str">
        <f>IF(AND(S65="",U65=""),"",":")</f>
        <v/>
      </c>
      <c r="U65" s="112" t="str">
        <f>IF(Y63="","",Y63)</f>
        <v/>
      </c>
      <c r="V65" s="111" t="str">
        <f>IF(AA64="","",AA64)</f>
        <v/>
      </c>
      <c r="W65" s="91" t="str">
        <f>IF(AND(V65="",X65=""),"",":")</f>
        <v/>
      </c>
      <c r="X65" s="112" t="str">
        <f>IF(Y64="","",Y64)</f>
        <v/>
      </c>
      <c r="Y65" s="87"/>
      <c r="Z65" s="88"/>
      <c r="AA65" s="89"/>
      <c r="AB65" s="90"/>
      <c r="AC65" s="91" t="str">
        <f t="shared" si="9"/>
        <v/>
      </c>
      <c r="AD65" s="92"/>
      <c r="AE65" s="353" t="s">
        <v>287</v>
      </c>
      <c r="AF65" s="354"/>
      <c r="AG65" s="355"/>
      <c r="AH65" s="93">
        <f>IF(AA60&gt;Y60,1)+IF(AA61&gt;Y61,1)+IF(AA62&gt;Y62,1)+IF(AA63&gt;Y63,1)+IF(AA64&gt;Y64,1)+IF(AB65&gt;AD65,1)</f>
        <v>0</v>
      </c>
      <c r="AI65" s="94" t="s">
        <v>197</v>
      </c>
      <c r="AJ65" s="95">
        <f>AA60+AA61+AA62+AA63+AA64+AB65</f>
        <v>0</v>
      </c>
      <c r="AK65" s="96" t="str">
        <f t="shared" si="28"/>
        <v>:</v>
      </c>
      <c r="AL65" s="97">
        <f>Y60+Y61+Y62+Y63+Y64+AD65</f>
        <v>0</v>
      </c>
      <c r="AM65" s="98" t="str">
        <f t="shared" si="10"/>
        <v>1.</v>
      </c>
      <c r="AN65" s="99" t="str">
        <f t="shared" si="11"/>
        <v>0 b</v>
      </c>
      <c r="AO65" s="100" t="str">
        <f t="shared" si="12"/>
        <v>(0:0)</v>
      </c>
      <c r="AP65" s="101" t="str">
        <f t="shared" si="13"/>
        <v/>
      </c>
      <c r="AQ65" s="102"/>
      <c r="AR65" s="103" t="str">
        <f t="shared" si="14"/>
        <v>1.</v>
      </c>
      <c r="AS65" s="102"/>
      <c r="AT65" s="104"/>
      <c r="AU65" s="104">
        <f t="shared" si="15"/>
        <v>0</v>
      </c>
      <c r="AV65" s="104">
        <f t="shared" si="16"/>
        <v>1</v>
      </c>
      <c r="AW65" s="106">
        <f>IF(AV60=AV65,AA60,"")</f>
        <v>0</v>
      </c>
      <c r="AX65" s="105">
        <f>IF(AV61=AV65,AA61,"")</f>
        <v>0</v>
      </c>
      <c r="AY65" s="105">
        <f>IF(AV62=AV65,AA62,"")</f>
        <v>0</v>
      </c>
      <c r="AZ65" s="105">
        <f>IF(AV63=AV65,AA63,"")</f>
        <v>0</v>
      </c>
      <c r="BA65" s="105">
        <f>IF(AV64=AV65,AA64,"")</f>
        <v>0</v>
      </c>
      <c r="BB65" s="105"/>
      <c r="BC65" s="105">
        <f>IF(AV65=AV66,AB65,"")</f>
        <v>0</v>
      </c>
      <c r="BD65" s="105">
        <f t="shared" si="17"/>
        <v>0</v>
      </c>
      <c r="BE65" s="105">
        <f t="shared" si="18"/>
        <v>0</v>
      </c>
      <c r="BF65" s="105"/>
      <c r="BG65" s="104">
        <f t="shared" si="19"/>
        <v>1</v>
      </c>
      <c r="BH65" s="105">
        <f>IF(AV60=AV65,Y60,"")</f>
        <v>0</v>
      </c>
      <c r="BI65" s="105">
        <f>IF(AV61=AV65,Y61,"")</f>
        <v>0</v>
      </c>
      <c r="BJ65" s="105">
        <f>IF(AV62=AV65,Y62,"")</f>
        <v>0</v>
      </c>
      <c r="BK65" s="105">
        <f>IF(AV63=AV65,Y63,"")</f>
        <v>0</v>
      </c>
      <c r="BL65" s="105">
        <f>IF(AV64=AV65,Y64,"")</f>
        <v>0</v>
      </c>
      <c r="BM65" s="105"/>
      <c r="BN65" s="105">
        <f>IF(AV65=AV66,AD65,"")</f>
        <v>0</v>
      </c>
      <c r="BO65" s="105">
        <f t="shared" si="20"/>
        <v>0</v>
      </c>
      <c r="BQ65" s="10" t="b">
        <f t="shared" si="21"/>
        <v>0</v>
      </c>
      <c r="BR65" s="10">
        <f t="shared" si="29"/>
        <v>0</v>
      </c>
      <c r="BS65" s="10" t="b">
        <f t="shared" si="22"/>
        <v>1</v>
      </c>
      <c r="BT65" s="10"/>
      <c r="BU65" s="10"/>
      <c r="BV65" s="10"/>
      <c r="BW65" s="10"/>
      <c r="BX65" s="10"/>
      <c r="BY65" s="10"/>
      <c r="BZ65" s="10" t="str">
        <f t="shared" si="23"/>
        <v/>
      </c>
      <c r="CA65" s="107"/>
      <c r="CB65" s="104">
        <f t="shared" si="24"/>
        <v>1</v>
      </c>
      <c r="CC65" s="106"/>
      <c r="CD65" s="105"/>
      <c r="CE65" s="105"/>
      <c r="CF65" s="105"/>
      <c r="CG65" s="105"/>
      <c r="CH65" s="105"/>
      <c r="CI65" s="106">
        <f>IF(CB65=CB66,1,"")</f>
        <v>1</v>
      </c>
      <c r="CJ65" s="105">
        <f t="shared" si="25"/>
        <v>1</v>
      </c>
      <c r="CK65" s="107"/>
      <c r="CY65" s="109" t="str">
        <f t="shared" si="30"/>
        <v>1.</v>
      </c>
      <c r="CZ65" s="110" t="str">
        <f t="shared" si="31"/>
        <v/>
      </c>
      <c r="DA65" s="110"/>
      <c r="DB65" s="44" t="str">
        <f t="shared" si="32"/>
        <v/>
      </c>
      <c r="DC65" s="27" t="s">
        <v>206</v>
      </c>
      <c r="DE65" s="44">
        <f t="shared" si="33"/>
        <v>0</v>
      </c>
    </row>
    <row r="66" spans="2:113" ht="30" customHeight="1" x14ac:dyDescent="0.55000000000000004">
      <c r="D66" s="85" t="str">
        <f>IF(B60=7,$DE$22,"")</f>
        <v/>
      </c>
      <c r="E66" s="85" t="str">
        <f>IF(B60=7,$DE$23,"")</f>
        <v/>
      </c>
      <c r="F66" s="85" t="str">
        <f>IF(B60=7,$DE$24,"")</f>
        <v/>
      </c>
      <c r="G66" s="86" t="s">
        <v>7</v>
      </c>
      <c r="H66" s="358" t="str">
        <f>IF(AND(I38=1,CV40&gt;6,I48="ANO"),CS11,IF(AND(I38=2,CV40&gt;6,I48="ANO"),CS17,IF(AND(I38=3,CV40&gt;6,I48="ANO"),CS23,IF(AND(I38=4,CV40&gt;6,I48="ANO"),CS29,IF(AND(I38=6,CV40&gt;6,I48="ANO"),CS41,IF(AND(I38=8,CV40&gt;6,I48="ANO"),CS53,""))))))</f>
        <v/>
      </c>
      <c r="I66" s="358"/>
      <c r="J66" s="111" t="str">
        <f>IF(AD60="","",AD60)</f>
        <v/>
      </c>
      <c r="K66" s="91" t="str">
        <f t="shared" si="26"/>
        <v/>
      </c>
      <c r="L66" s="112" t="str">
        <f>IF(AB60="","",AB60)</f>
        <v/>
      </c>
      <c r="M66" s="111" t="str">
        <f>IF(AD61="","",AD61)</f>
        <v/>
      </c>
      <c r="N66" s="91" t="str">
        <f>IF(AND(M66="",O66=""),"",":")</f>
        <v/>
      </c>
      <c r="O66" s="112" t="str">
        <f>IF(AB61="","",AB61)</f>
        <v/>
      </c>
      <c r="P66" s="111" t="str">
        <f>IF(AD62="","",AD62)</f>
        <v/>
      </c>
      <c r="Q66" s="91" t="str">
        <f t="shared" si="27"/>
        <v/>
      </c>
      <c r="R66" s="112" t="str">
        <f>IF(AB62="","",AB62)</f>
        <v/>
      </c>
      <c r="S66" s="111" t="str">
        <f>IF(AD63="","",AD63)</f>
        <v/>
      </c>
      <c r="T66" s="91" t="str">
        <f>IF(AND(S66="",U66=""),"",":")</f>
        <v/>
      </c>
      <c r="U66" s="112" t="str">
        <f>IF(AB63="","",AB63)</f>
        <v/>
      </c>
      <c r="V66" s="111" t="str">
        <f>IF(AD64="","",AD64)</f>
        <v/>
      </c>
      <c r="W66" s="91" t="str">
        <f>IF(AND(V66="",X66=""),"",":")</f>
        <v/>
      </c>
      <c r="X66" s="112" t="str">
        <f>IF(AB64="","",AB64)</f>
        <v/>
      </c>
      <c r="Y66" s="111" t="str">
        <f>IF(AD65="","",AD65)</f>
        <v/>
      </c>
      <c r="Z66" s="91" t="str">
        <f>IF(AND(Y66="",AA66=""),"",":")</f>
        <v/>
      </c>
      <c r="AA66" s="112" t="str">
        <f>IF(AB65="","",AB65)</f>
        <v/>
      </c>
      <c r="AB66" s="87"/>
      <c r="AC66" s="88"/>
      <c r="AD66" s="89"/>
      <c r="AE66" s="359" t="s">
        <v>288</v>
      </c>
      <c r="AF66" s="354"/>
      <c r="AG66" s="355"/>
      <c r="AH66" s="93">
        <f>IF(AD60&gt;AB60,1)+IF(AD61&gt;AB61,1)+IF(AD62&gt;AB62,1)+IF(AD63&gt;AB63,1)+IF(AD64&gt;AB64,1)+IF(AD65&gt;AB65,1)</f>
        <v>0</v>
      </c>
      <c r="AI66" s="94" t="s">
        <v>197</v>
      </c>
      <c r="AJ66" s="95">
        <f>AD60+AD61+AD62+AD63+AD64+AD65</f>
        <v>0</v>
      </c>
      <c r="AK66" s="96" t="str">
        <f t="shared" si="28"/>
        <v>:</v>
      </c>
      <c r="AL66" s="97">
        <f>AB60+AB61+AB62+AB63+AB64+AB65</f>
        <v>0</v>
      </c>
      <c r="AM66" s="98" t="str">
        <f t="shared" si="10"/>
        <v>1.</v>
      </c>
      <c r="AN66" s="99" t="str">
        <f t="shared" si="11"/>
        <v>0 b</v>
      </c>
      <c r="AO66" s="100" t="str">
        <f t="shared" si="12"/>
        <v>(0:0)</v>
      </c>
      <c r="AP66" s="101" t="str">
        <f t="shared" si="13"/>
        <v/>
      </c>
      <c r="AQ66" s="102"/>
      <c r="AR66" s="103" t="str">
        <f t="shared" si="14"/>
        <v>1.</v>
      </c>
      <c r="AS66" s="102"/>
      <c r="AT66" s="104"/>
      <c r="AU66" s="104">
        <f t="shared" si="15"/>
        <v>0</v>
      </c>
      <c r="AV66" s="104">
        <f t="shared" si="16"/>
        <v>1</v>
      </c>
      <c r="AW66" s="106">
        <f>IF(AV60=AV66,AD60,"")</f>
        <v>0</v>
      </c>
      <c r="AX66" s="105">
        <f>IF(AV61=AV66,AD61,"")</f>
        <v>0</v>
      </c>
      <c r="AY66" s="105">
        <f>IF(AV62=AV66,AD62,"")</f>
        <v>0</v>
      </c>
      <c r="AZ66" s="105">
        <f>IF(AV63=AV66,AD63,"")</f>
        <v>0</v>
      </c>
      <c r="BA66" s="105">
        <f>IF(AV64=AV66,AD64,"")</f>
        <v>0</v>
      </c>
      <c r="BB66" s="105">
        <f>IF(AV65=AV66,AD65,"")</f>
        <v>0</v>
      </c>
      <c r="BC66" s="105"/>
      <c r="BD66" s="105">
        <f t="shared" si="17"/>
        <v>0</v>
      </c>
      <c r="BE66" s="105">
        <f t="shared" si="18"/>
        <v>0</v>
      </c>
      <c r="BF66" s="105"/>
      <c r="BG66" s="104">
        <f t="shared" si="19"/>
        <v>1</v>
      </c>
      <c r="BH66" s="105">
        <f>IF(AV60=AV66,AB60,"")</f>
        <v>0</v>
      </c>
      <c r="BI66" s="105">
        <f>IF(AV61=AV66,AB61,"")</f>
        <v>0</v>
      </c>
      <c r="BJ66" s="105">
        <f>IF(AV62=AV66,AB62,"")</f>
        <v>0</v>
      </c>
      <c r="BK66" s="105">
        <f>IF(AV63=AV66,AB63,"")</f>
        <v>0</v>
      </c>
      <c r="BL66" s="105">
        <f>IF(AV64=AV66,AB64,"")</f>
        <v>0</v>
      </c>
      <c r="BM66" s="105">
        <f>IF(AV65=AV66,AB65,"")</f>
        <v>0</v>
      </c>
      <c r="BN66" s="105"/>
      <c r="BO66" s="105">
        <f t="shared" si="20"/>
        <v>0</v>
      </c>
      <c r="BQ66" s="10" t="b">
        <f t="shared" si="21"/>
        <v>0</v>
      </c>
      <c r="BR66" s="10">
        <f t="shared" si="29"/>
        <v>0</v>
      </c>
      <c r="BS66" s="10" t="b">
        <f t="shared" si="22"/>
        <v>1</v>
      </c>
      <c r="BT66" s="10"/>
      <c r="BU66" s="10"/>
      <c r="BV66" s="10"/>
      <c r="BW66" s="10"/>
      <c r="BX66" s="10"/>
      <c r="BY66" s="10"/>
      <c r="BZ66" s="10" t="str">
        <f t="shared" si="23"/>
        <v/>
      </c>
      <c r="CA66" s="107"/>
      <c r="CB66" s="104">
        <f t="shared" si="24"/>
        <v>1</v>
      </c>
      <c r="CC66" s="106"/>
      <c r="CD66" s="105"/>
      <c r="CE66" s="105"/>
      <c r="CF66" s="105"/>
      <c r="CG66" s="105"/>
      <c r="CH66" s="105"/>
      <c r="CI66" s="105"/>
      <c r="CJ66" s="105">
        <f t="shared" si="25"/>
        <v>0</v>
      </c>
      <c r="CK66" s="107"/>
      <c r="CY66" s="109" t="str">
        <f t="shared" si="30"/>
        <v>1.</v>
      </c>
      <c r="CZ66" s="110" t="str">
        <f t="shared" si="31"/>
        <v/>
      </c>
      <c r="DA66" s="110"/>
      <c r="DB66" s="44" t="str">
        <f t="shared" si="32"/>
        <v/>
      </c>
      <c r="DC66" s="27" t="s">
        <v>207</v>
      </c>
      <c r="DE66" s="44">
        <f t="shared" si="33"/>
        <v>0</v>
      </c>
    </row>
    <row r="67" spans="2:113" ht="11.25" customHeight="1" x14ac:dyDescent="0.5">
      <c r="AK67" s="118"/>
      <c r="AN67" s="119"/>
      <c r="AP67" s="119">
        <f>COUNTIF(AP60:AP66,"&gt;0")</f>
        <v>0</v>
      </c>
      <c r="AU67" s="10">
        <f>COUNTIF(AU60:AU66,"&gt;0")</f>
        <v>0</v>
      </c>
      <c r="AY67" s="10"/>
      <c r="BR67" s="9">
        <f>SUM(BR60:BR66)</f>
        <v>0</v>
      </c>
      <c r="BS67" s="10">
        <f>COUNTIF(BS60:BS66,TRUE)</f>
        <v>7</v>
      </c>
      <c r="BT67" s="9">
        <f>BR67*BS67</f>
        <v>0</v>
      </c>
      <c r="BZ67" s="10">
        <f>COUNTIF(BZ60:BZ66,1)</f>
        <v>0</v>
      </c>
      <c r="CE67" s="10"/>
      <c r="CK67" s="120">
        <f>SUM(AH60:AH66)</f>
        <v>0</v>
      </c>
    </row>
    <row r="69" spans="2:113" ht="15" customHeight="1" x14ac:dyDescent="0.5"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74"/>
    </row>
    <row r="70" spans="2:113" ht="165" customHeight="1" x14ac:dyDescent="0.9">
      <c r="H70" s="356" t="s">
        <v>208</v>
      </c>
      <c r="I70" s="357"/>
      <c r="J70" s="360" t="str">
        <f>H71</f>
        <v/>
      </c>
      <c r="K70" s="361"/>
      <c r="L70" s="362"/>
      <c r="M70" s="360" t="str">
        <f>H72</f>
        <v/>
      </c>
      <c r="N70" s="361"/>
      <c r="O70" s="362"/>
      <c r="P70" s="360" t="str">
        <f>H73</f>
        <v/>
      </c>
      <c r="Q70" s="361"/>
      <c r="R70" s="362"/>
      <c r="S70" s="360" t="str">
        <f>H74</f>
        <v/>
      </c>
      <c r="T70" s="361"/>
      <c r="U70" s="362"/>
      <c r="V70" s="360" t="str">
        <f>H75</f>
        <v/>
      </c>
      <c r="W70" s="361"/>
      <c r="X70" s="362"/>
      <c r="Y70" s="360" t="str">
        <f>H76</f>
        <v/>
      </c>
      <c r="Z70" s="361"/>
      <c r="AA70" s="362"/>
      <c r="AB70" s="360" t="str">
        <f>H77</f>
        <v/>
      </c>
      <c r="AC70" s="361"/>
      <c r="AD70" s="362"/>
      <c r="AE70" s="347" t="s">
        <v>175</v>
      </c>
      <c r="AF70" s="348"/>
      <c r="AG70" s="349"/>
      <c r="AH70" s="347" t="s">
        <v>176</v>
      </c>
      <c r="AI70" s="349"/>
      <c r="AJ70" s="350" t="s">
        <v>177</v>
      </c>
      <c r="AK70" s="350"/>
      <c r="AL70" s="350"/>
      <c r="AM70" s="75" t="s">
        <v>178</v>
      </c>
      <c r="AN70" s="76" t="s">
        <v>179</v>
      </c>
      <c r="AO70" s="76" t="s">
        <v>180</v>
      </c>
      <c r="AP70" s="76" t="s">
        <v>181</v>
      </c>
      <c r="AQ70" s="78"/>
      <c r="AR70" s="78" t="s">
        <v>182</v>
      </c>
      <c r="AS70" s="79"/>
      <c r="AT70" s="80"/>
      <c r="AU70" s="80"/>
      <c r="AV70" s="81" t="s">
        <v>183</v>
      </c>
      <c r="AW70" s="82">
        <v>1</v>
      </c>
      <c r="AX70" s="82">
        <v>2</v>
      </c>
      <c r="AY70" s="82">
        <v>3</v>
      </c>
      <c r="AZ70" s="81" t="s">
        <v>4</v>
      </c>
      <c r="BA70" s="81" t="s">
        <v>5</v>
      </c>
      <c r="BB70" s="81" t="s">
        <v>6</v>
      </c>
      <c r="BC70" s="81" t="s">
        <v>7</v>
      </c>
      <c r="BD70" s="81" t="s">
        <v>184</v>
      </c>
      <c r="BG70" s="81" t="s">
        <v>178</v>
      </c>
      <c r="BH70" s="82">
        <v>1</v>
      </c>
      <c r="BI70" s="82">
        <v>2</v>
      </c>
      <c r="BJ70" s="82">
        <v>3</v>
      </c>
      <c r="BK70" s="81" t="s">
        <v>4</v>
      </c>
      <c r="BL70" s="81" t="s">
        <v>5</v>
      </c>
      <c r="BM70" s="81" t="s">
        <v>6</v>
      </c>
      <c r="BN70" s="81" t="s">
        <v>7</v>
      </c>
      <c r="BO70" s="81" t="s">
        <v>185</v>
      </c>
      <c r="BQ70" s="81" t="s">
        <v>186</v>
      </c>
      <c r="BR70" s="81" t="s">
        <v>187</v>
      </c>
      <c r="BS70" s="81" t="s">
        <v>188</v>
      </c>
      <c r="BT70" s="81" t="s">
        <v>189</v>
      </c>
      <c r="BU70" s="81" t="s">
        <v>190</v>
      </c>
      <c r="BV70" s="81" t="s">
        <v>191</v>
      </c>
      <c r="BW70" s="81" t="s">
        <v>192</v>
      </c>
      <c r="BX70" s="81" t="s">
        <v>193</v>
      </c>
      <c r="BY70" s="81"/>
      <c r="BZ70" s="81" t="s">
        <v>194</v>
      </c>
      <c r="CA70" s="83"/>
      <c r="CB70" s="81" t="s">
        <v>195</v>
      </c>
      <c r="CC70" s="82">
        <v>1</v>
      </c>
      <c r="CD70" s="82">
        <v>2</v>
      </c>
      <c r="CE70" s="82">
        <v>3</v>
      </c>
      <c r="CF70" s="81" t="s">
        <v>4</v>
      </c>
      <c r="CG70" s="81" t="s">
        <v>5</v>
      </c>
      <c r="CH70" s="81" t="s">
        <v>6</v>
      </c>
      <c r="CI70" s="81" t="s">
        <v>7</v>
      </c>
      <c r="CJ70" s="81" t="s">
        <v>184</v>
      </c>
      <c r="CK70" s="83" t="s">
        <v>196</v>
      </c>
      <c r="CY70" s="11" t="s">
        <v>178</v>
      </c>
      <c r="CZ70" s="11" t="s">
        <v>14</v>
      </c>
      <c r="DB70" s="1" t="s">
        <v>14</v>
      </c>
      <c r="DC70" s="1" t="s">
        <v>178</v>
      </c>
    </row>
    <row r="71" spans="2:113" ht="30" customHeight="1" x14ac:dyDescent="0.55000000000000004">
      <c r="B71" s="84">
        <f>CV42</f>
        <v>0</v>
      </c>
      <c r="D71" s="85" t="str">
        <f>IF(B71=3,$DA$4,IF(B71=4,$DB$4,IF(B71=5,$DC$4,IF(B71=6,$DD$4,IF(B71=7,$DE$4,"")))))</f>
        <v/>
      </c>
      <c r="E71" s="85" t="str">
        <f>IF(B71=3,$DA$5,IF(B71=4,$DB$5,IF(B71=5,$DC$5,IF(B71=6,$DD$5,IF(B71=7,$DE$5,"")))))</f>
        <v/>
      </c>
      <c r="F71" s="85" t="str">
        <f>IF(B71=3,$DA$6,IF(B71=4,$DB$6,IF(B71=5,$DC$6,IF(B71=6,$DD$6,IF(B71=7,$DE$6,"")))))</f>
        <v/>
      </c>
      <c r="G71" s="86" t="s">
        <v>21</v>
      </c>
      <c r="H71" s="351" t="str">
        <f>IF(AND(I38=2,CV42&gt;0,I48="ANO"),CS6,IF(AND(I38=3,CV42&gt;0,I48="ANO"),CS6,IF(AND(I38=4,CV42&gt;0,I48="ANO"),CS6,IF(AND(I36&lt;&gt;8,I38=6,CV42&gt;0,I48="ANO"),CS6,IF(AND(I36=8,I38=6,CV42&gt;0,I48="ANO"),CS8,IF(AND(I38=8,CV42&gt;0,I48="ANO"),CS6,""))))))</f>
        <v/>
      </c>
      <c r="I71" s="352"/>
      <c r="J71" s="87"/>
      <c r="K71" s="88"/>
      <c r="L71" s="89"/>
      <c r="M71" s="90"/>
      <c r="N71" s="91" t="str">
        <f>IF(AND(M71="",O71=""),"",":")</f>
        <v/>
      </c>
      <c r="O71" s="92"/>
      <c r="P71" s="90"/>
      <c r="Q71" s="91" t="str">
        <f t="shared" ref="Q71:Q77" si="34">IF(AND(P71="",R71=""),"",":")</f>
        <v/>
      </c>
      <c r="R71" s="92"/>
      <c r="S71" s="90"/>
      <c r="T71" s="91" t="str">
        <f>IF(AND(S71="",U71=""),"",":")</f>
        <v/>
      </c>
      <c r="U71" s="92"/>
      <c r="V71" s="90"/>
      <c r="W71" s="91" t="str">
        <f>IF(AND(V71="",X71=""),"",":")</f>
        <v/>
      </c>
      <c r="X71" s="92"/>
      <c r="Y71" s="90"/>
      <c r="Z71" s="91" t="str">
        <f>IF(AND(Y71="",AA71=""),"",":")</f>
        <v/>
      </c>
      <c r="AA71" s="92"/>
      <c r="AB71" s="90"/>
      <c r="AC71" s="91" t="str">
        <f t="shared" ref="AC71:AC76" si="35">IF(AND(AB71="",AD71=""),"",":")</f>
        <v/>
      </c>
      <c r="AD71" s="92"/>
      <c r="AE71" s="353">
        <v>180</v>
      </c>
      <c r="AF71" s="354"/>
      <c r="AG71" s="355"/>
      <c r="AH71" s="93">
        <f>IF(M71&gt;O71,1)+IF(P71&gt;R71,1)+IF(S71&gt;U71,1)+IF(V71&gt;X71,1)+IF(Y71&gt;AA71,1)+IF(AB71&gt;AD71,1)</f>
        <v>0</v>
      </c>
      <c r="AI71" s="94" t="s">
        <v>197</v>
      </c>
      <c r="AJ71" s="95">
        <f>M71+P71+S71+V71+Y71+AB71</f>
        <v>0</v>
      </c>
      <c r="AK71" s="96" t="str">
        <f>IF(AND(AJ71="",AL71=""),"",":")</f>
        <v>:</v>
      </c>
      <c r="AL71" s="97">
        <f>O71+R71+U71+X71+AA71+AD71</f>
        <v>0</v>
      </c>
      <c r="AM71" s="98" t="str">
        <f t="shared" ref="AM71:AM77" si="36">COUNTIF($AH$71:$AH$77,"&gt;"&amp;AH71)+COUNTIFS($AH$71:$AH$77,AH71,$AN$71:$AN$77,"&gt;"&amp;AN71)+COUNTIFS($AH$71:$AH$77,AH71,$AN$71:$AN$77,AN71,$BD$71:$BD$77,"&gt;"&amp;BD71)+COUNTIFS($AH$71:$AH$77,AH71,$AN$71:$AN$77,AN71,$BD$71:$BD$77,BD71,$BO$71:$BO$77,"&lt;"&amp;BO71)+COUNTIFS($AH$71:$AH$77,AH71,$AN$71:$AN$77,AN71,$BD$71:$BD$77,BD71,$BO$71:$BO$77,BO71,$AP$71:$AP$77,"&lt;"&amp;AP71)+1 &amp;"."</f>
        <v>1.</v>
      </c>
      <c r="AN71" s="99" t="str">
        <f t="shared" ref="AN71:AN77" si="37">IF(AW71&gt;BH71,1,)+IF(AX71&gt;BI71,1)+IF(AY71&gt;BJ71,1)+IF(AZ71&gt;BK71,1)+IF(BA71&gt;BL71,1)+IF(BB71&gt;BM71,1)+IF(BC71&gt;BN71,1,)&amp;" b"</f>
        <v>0 b</v>
      </c>
      <c r="AO71" s="100" t="str">
        <f t="shared" ref="AO71:AO77" si="38">CONCATENATE("("&amp;(BD71),":",(BO71)&amp;")")</f>
        <v>(0:0)</v>
      </c>
      <c r="AP71" s="101" t="str">
        <f>IF(AND(BS71=TRUE,BR71&lt;&gt;0),"?","")</f>
        <v/>
      </c>
      <c r="AQ71" s="102"/>
      <c r="AR71" s="103" t="str">
        <f t="shared" ref="AR71:AR77" si="39">RANK(AH71,$AH$71:$AH$77,0)&amp;"."</f>
        <v>1.</v>
      </c>
      <c r="AS71" s="102"/>
      <c r="AT71" s="104"/>
      <c r="AU71" s="104">
        <f t="shared" ref="AU71:AU77" si="40">IF(AW71&gt;BH71,1,)+IF(AX71&gt;BI71,1)+IF(AY71&gt;BJ71,1)+IF(AZ71&gt;BK71,1)+IF(BA71&gt;BL71,1)+IF(BB71&gt;BM71,1)+IF(BC71&gt;BN71,1,)</f>
        <v>0</v>
      </c>
      <c r="AV71" s="104">
        <f t="shared" ref="AV71:AV77" si="41">RANK(AH71,$AH$71:$AH$77,0)</f>
        <v>1</v>
      </c>
      <c r="AW71" s="105"/>
      <c r="AX71" s="106">
        <f>IF(AV71=AV72,M71,"")</f>
        <v>0</v>
      </c>
      <c r="AY71" s="105">
        <f>IF(AV71=AV73,P71,"")</f>
        <v>0</v>
      </c>
      <c r="AZ71" s="105">
        <f>IF(AV71=AV74,S71,"")</f>
        <v>0</v>
      </c>
      <c r="BA71" s="105">
        <f>IF(AV71=AV75,V71,"")</f>
        <v>0</v>
      </c>
      <c r="BB71" s="105">
        <f>IF(AV71=AV76,Y71,"")</f>
        <v>0</v>
      </c>
      <c r="BC71" s="105">
        <f>IF(AV71=AV77,AB71,"")</f>
        <v>0</v>
      </c>
      <c r="BD71" s="105">
        <f t="shared" ref="BD71:BD77" si="42">SUM(AW71:BC71)</f>
        <v>0</v>
      </c>
      <c r="BE71" s="105">
        <f t="shared" ref="BE71:BE77" si="43">IF(BD71=0,0,"1")</f>
        <v>0</v>
      </c>
      <c r="BF71" s="105"/>
      <c r="BG71" s="104">
        <f t="shared" ref="BG71:BG77" si="44">RANK(AH71,$AH$71:$AH$77,0)</f>
        <v>1</v>
      </c>
      <c r="BH71" s="105"/>
      <c r="BI71" s="105">
        <f>IF(AV71=AV72,O71,"")</f>
        <v>0</v>
      </c>
      <c r="BJ71" s="105">
        <f>IF(AV71=AV73,R71,"")</f>
        <v>0</v>
      </c>
      <c r="BK71" s="105">
        <f>IF(AV71=AV74,U71,"")</f>
        <v>0</v>
      </c>
      <c r="BL71" s="105">
        <f>IF(AV71=AV75,X71,"")</f>
        <v>0</v>
      </c>
      <c r="BM71" s="105">
        <f>IF(AV71=AV76,AA71,"")</f>
        <v>0</v>
      </c>
      <c r="BN71" s="105">
        <f>IF(AV71=AV77,AD71,"")</f>
        <v>0</v>
      </c>
      <c r="BO71" s="105">
        <f t="shared" ref="BO71:BO77" si="45">SUM(BH71:BN71)</f>
        <v>0</v>
      </c>
      <c r="BQ71" s="10" t="b">
        <f t="shared" ref="BQ71:BQ77" si="46">IF(COUNTIF($AH$71:$AH$77,1)=1,1,IF(COUNTIF($AH$71:$AH$77,2)=2,2,IF(COUNTIF($AH$71:$AH$77,3)=3,3,IF(COUNTIF($AH$71:$AH$77,4)=4,4,IF(COUNTIF($AH$71:$AH$77,5)=5,5)))))</f>
        <v>0</v>
      </c>
      <c r="BR71" s="10">
        <f>AH71*(BD71*100+AH71+BO71*3.14+AU71*22)*10</f>
        <v>0</v>
      </c>
      <c r="BS71" s="10" t="b">
        <f t="shared" ref="BS71:BS77" si="47">COUNTIF($BR$71:$BR$77,BR71)&gt;1</f>
        <v>1</v>
      </c>
      <c r="BT71" s="10">
        <f>COUNTIF($AH$71:$AH$77,1)</f>
        <v>0</v>
      </c>
      <c r="BU71" s="10">
        <f>COUNTIF($AH$71:$AH$77,2)</f>
        <v>0</v>
      </c>
      <c r="BV71" s="10">
        <f>COUNTIF($AH$71:$AH$77,3)</f>
        <v>0</v>
      </c>
      <c r="BW71" s="10">
        <f>COUNTIF($AH$71:$AH$77,4)</f>
        <v>0</v>
      </c>
      <c r="BX71" s="10">
        <f>COUNTIF($AH$71:$AH$77,5)</f>
        <v>0</v>
      </c>
      <c r="BY71" s="10"/>
      <c r="BZ71" s="10" t="str">
        <f t="shared" ref="BZ71:BZ77" si="48">IF(AND(BS71=TRUE,BR71&lt;&gt;0),"1","")</f>
        <v/>
      </c>
      <c r="CA71" s="107"/>
      <c r="CB71" s="104">
        <f t="shared" ref="CB71:CB77" si="49">RANK(AH71,$AH$71:$AH$77,0)</f>
        <v>1</v>
      </c>
      <c r="CC71" s="105"/>
      <c r="CD71" s="106">
        <f>IF(CB71=CB72,1,"")</f>
        <v>1</v>
      </c>
      <c r="CE71" s="106">
        <f>IF(CB71=CB73,1,"")</f>
        <v>1</v>
      </c>
      <c r="CF71" s="106">
        <f>IF(CB71=CB74,1,"")</f>
        <v>1</v>
      </c>
      <c r="CG71" s="106">
        <f>IF(CB71=CB75,1,"")</f>
        <v>1</v>
      </c>
      <c r="CH71" s="106">
        <f>IF(CB71=CB76,1,"")</f>
        <v>1</v>
      </c>
      <c r="CI71" s="106">
        <f>IF(CB71=CB77,1,"")</f>
        <v>1</v>
      </c>
      <c r="CJ71" s="105">
        <f t="shared" ref="CJ71:CJ77" si="50">SUM(CC71:CI71)</f>
        <v>6</v>
      </c>
      <c r="CK71" s="107"/>
      <c r="CX71" s="108" t="s">
        <v>209</v>
      </c>
      <c r="CY71" s="109" t="str">
        <f>AM71</f>
        <v>1.</v>
      </c>
      <c r="CZ71" s="110" t="str">
        <f>H71</f>
        <v/>
      </c>
      <c r="DA71" s="110"/>
      <c r="DB71" s="44" t="str">
        <f>IF(DE71&gt;0,VLOOKUP(DC71,$CY$71:$CZ$77,2,0),"")</f>
        <v/>
      </c>
      <c r="DC71" s="27" t="s">
        <v>199</v>
      </c>
      <c r="DE71" s="44">
        <f>IF(CZ71="",0,2)</f>
        <v>0</v>
      </c>
    </row>
    <row r="72" spans="2:113" ht="30" customHeight="1" x14ac:dyDescent="0.55000000000000004">
      <c r="D72" s="85" t="str">
        <f>IF(B71=4,$DB$7,IF(B71=5,$DC$7,IF(B71=6,$DD$7,IF(B71=7,$DE$7,""))))</f>
        <v/>
      </c>
      <c r="E72" s="85" t="str">
        <f>IF(B71=4,$DB$8,IF(B71=5,$DC$8,IF(B71=6,$DD$8,IF(B71=7,$DE$8,""))))</f>
        <v/>
      </c>
      <c r="F72" s="85" t="str">
        <f>IF(B71=4,$DB$9,IF(B71=5,$DC$9,IF(B71=6,$DD$9,IF(B71=7,$DE$9,""))))</f>
        <v/>
      </c>
      <c r="G72" s="86" t="s">
        <v>29</v>
      </c>
      <c r="H72" s="351" t="str">
        <f>IF(AND(I36&lt;&gt;4,I38=2,CV42&gt;2,I48="ANO"),CS8,IF(AND(I36=4,I38=2,CV42&gt;2,I48="ANO"),CS7,IF(AND(I36&lt;&gt;4,I38=3,CV42&gt;0,I48="ANO"),CS9,IF(AND(I36=4,I38=3,CV42&gt;0,I48="ANO"),CS10,IF(AND(I36&lt;&gt;8,I38=4,CV42&gt;0,I48="ANO"),CS10,IF(AND(I36=8,I38=4,CV42&gt;0,I48="ANO"),CS11,IF(AND(I36&lt;&gt;8,I38=6,CV42&gt;0,I48="ANO"),CS12,IF(AND(I36=8,I38=6,CV42&gt;0,I48="ANO"),CS14,IF(AND(I36&lt;&gt;16,I38=8,CV42&gt;0,I48="ANO"),CS14,IF(AND(I36=16,I38=8,CV42&gt;0,I48="ANO"),CS19,""))))))))))</f>
        <v/>
      </c>
      <c r="I72" s="352"/>
      <c r="J72" s="111" t="str">
        <f>IF(O71="","",O71)</f>
        <v/>
      </c>
      <c r="K72" s="91" t="str">
        <f t="shared" ref="K72:K77" si="51">IF(AND(J72="",L72=""),"",":")</f>
        <v/>
      </c>
      <c r="L72" s="112" t="str">
        <f>IF(M71="","",M71)</f>
        <v/>
      </c>
      <c r="M72" s="87"/>
      <c r="N72" s="88"/>
      <c r="O72" s="89"/>
      <c r="P72" s="90"/>
      <c r="Q72" s="91" t="str">
        <f t="shared" si="34"/>
        <v/>
      </c>
      <c r="R72" s="92"/>
      <c r="S72" s="90"/>
      <c r="T72" s="91" t="str">
        <f>IF(AND(S72="",U72=""),"",":")</f>
        <v/>
      </c>
      <c r="U72" s="92"/>
      <c r="V72" s="90"/>
      <c r="W72" s="91" t="str">
        <f>IF(AND(V72="",X72=""),"",":")</f>
        <v/>
      </c>
      <c r="X72" s="92"/>
      <c r="Y72" s="90"/>
      <c r="Z72" s="91" t="str">
        <f>IF(AND(Y72="",AA72=""),"",":")</f>
        <v/>
      </c>
      <c r="AA72" s="92"/>
      <c r="AB72" s="90"/>
      <c r="AC72" s="91" t="str">
        <f t="shared" si="35"/>
        <v/>
      </c>
      <c r="AD72" s="92"/>
      <c r="AE72" s="359" t="s">
        <v>284</v>
      </c>
      <c r="AF72" s="354"/>
      <c r="AG72" s="355"/>
      <c r="AH72" s="93">
        <f>IF(M71&lt;O71,1)+IF(P72&gt;R72,1)+IF(S72&gt;U72,1)+IF(V72&gt;X72,1)+IF(Y72&gt;AA72,1)+IF(AB72&gt;AD72,1)</f>
        <v>0</v>
      </c>
      <c r="AI72" s="94" t="s">
        <v>197</v>
      </c>
      <c r="AJ72" s="95">
        <f>O71+P72+S72+V72+Y72+AB72</f>
        <v>0</v>
      </c>
      <c r="AK72" s="96" t="str">
        <f t="shared" ref="AK72:AK77" si="52">IF(AND(AJ72="",AL72=""),"",":")</f>
        <v>:</v>
      </c>
      <c r="AL72" s="97">
        <f>M71+R72+U72+X72+AA72+AD72</f>
        <v>0</v>
      </c>
      <c r="AM72" s="98" t="str">
        <f t="shared" si="36"/>
        <v>1.</v>
      </c>
      <c r="AN72" s="99" t="str">
        <f t="shared" si="37"/>
        <v>0 b</v>
      </c>
      <c r="AO72" s="100" t="str">
        <f t="shared" si="38"/>
        <v>(0:0)</v>
      </c>
      <c r="AP72" s="101" t="str">
        <f>IF(AND(BS72=TRUE,BR72&lt;&gt;0),"?","")</f>
        <v/>
      </c>
      <c r="AQ72" s="102"/>
      <c r="AR72" s="103" t="str">
        <f t="shared" si="39"/>
        <v>1.</v>
      </c>
      <c r="AS72" s="102"/>
      <c r="AT72" s="104"/>
      <c r="AU72" s="104">
        <f t="shared" si="40"/>
        <v>0</v>
      </c>
      <c r="AV72" s="104">
        <f t="shared" si="41"/>
        <v>1</v>
      </c>
      <c r="AW72" s="106">
        <f>IF(AV71=AV72,O71,"")</f>
        <v>0</v>
      </c>
      <c r="AX72" s="105"/>
      <c r="AY72" s="105">
        <f>IF(AV72=AV73,P72,"")</f>
        <v>0</v>
      </c>
      <c r="AZ72" s="105">
        <f>IF(AV72=AV74,S72,"")</f>
        <v>0</v>
      </c>
      <c r="BA72" s="105">
        <f>IF(AV72=AV75,V72,"")</f>
        <v>0</v>
      </c>
      <c r="BB72" s="105">
        <f>IF(AV72=AV76,Y72,"")</f>
        <v>0</v>
      </c>
      <c r="BC72" s="105">
        <f>IF(AV72=AV77,AB72,"")</f>
        <v>0</v>
      </c>
      <c r="BD72" s="105">
        <f t="shared" si="42"/>
        <v>0</v>
      </c>
      <c r="BE72" s="105">
        <f t="shared" si="43"/>
        <v>0</v>
      </c>
      <c r="BF72" s="105"/>
      <c r="BG72" s="104">
        <f t="shared" si="44"/>
        <v>1</v>
      </c>
      <c r="BH72" s="105">
        <f>IF(AV71=AV72,M71,"")</f>
        <v>0</v>
      </c>
      <c r="BI72" s="105"/>
      <c r="BJ72" s="105">
        <f>IF(AV72=AV73,R72,"")</f>
        <v>0</v>
      </c>
      <c r="BK72" s="105">
        <f>IF(AV72=AV74,U72,"")</f>
        <v>0</v>
      </c>
      <c r="BL72" s="105">
        <f>IF(AV72=AV75,X72,"")</f>
        <v>0</v>
      </c>
      <c r="BM72" s="105">
        <f>IF(AV72=AV76,AA72,"")</f>
        <v>0</v>
      </c>
      <c r="BN72" s="105">
        <f>IF(AV72=AV77,AD72,"")</f>
        <v>0</v>
      </c>
      <c r="BO72" s="105">
        <f t="shared" si="45"/>
        <v>0</v>
      </c>
      <c r="BQ72" s="10" t="b">
        <f t="shared" si="46"/>
        <v>0</v>
      </c>
      <c r="BR72" s="10">
        <f t="shared" ref="BR72:BR77" si="53">AH72*(BD72*100+AH72+BO72*3.14+AU72*22)*10</f>
        <v>0</v>
      </c>
      <c r="BS72" s="10" t="b">
        <f t="shared" si="47"/>
        <v>1</v>
      </c>
      <c r="BT72" s="10">
        <f>IF(BT71&gt;=2,1,0)</f>
        <v>0</v>
      </c>
      <c r="BU72" s="10">
        <f>IF(BU71&gt;=2,1,0)</f>
        <v>0</v>
      </c>
      <c r="BV72" s="10">
        <f>IF(BV71&gt;=2,1,0)</f>
        <v>0</v>
      </c>
      <c r="BW72" s="10">
        <f>IF(BW71&gt;=2,1,0)</f>
        <v>0</v>
      </c>
      <c r="BX72" s="10">
        <f>IF(BX71&gt;=2,1,0)</f>
        <v>0</v>
      </c>
      <c r="BY72" s="10"/>
      <c r="BZ72" s="10" t="str">
        <f t="shared" si="48"/>
        <v/>
      </c>
      <c r="CA72" s="107"/>
      <c r="CB72" s="104">
        <f t="shared" si="49"/>
        <v>1</v>
      </c>
      <c r="CC72" s="106"/>
      <c r="CD72" s="105"/>
      <c r="CE72" s="106">
        <f>IF(CB72=CB73,1,"")</f>
        <v>1</v>
      </c>
      <c r="CF72" s="106">
        <f>IF(CB72=CB74,1,"")</f>
        <v>1</v>
      </c>
      <c r="CG72" s="106">
        <f>IF(CB72=CB75,1,"")</f>
        <v>1</v>
      </c>
      <c r="CH72" s="106">
        <f>IF(CB72=CB76,1,"")</f>
        <v>1</v>
      </c>
      <c r="CI72" s="106">
        <f>IF(CB72=CB77,1,"")</f>
        <v>1</v>
      </c>
      <c r="CJ72" s="105">
        <f t="shared" si="50"/>
        <v>5</v>
      </c>
      <c r="CK72" s="107"/>
      <c r="CY72" s="109" t="str">
        <f t="shared" ref="CY72:CY77" si="54">AM72</f>
        <v>1.</v>
      </c>
      <c r="CZ72" s="110" t="str">
        <f t="shared" ref="CZ72:CZ77" si="55">H72</f>
        <v/>
      </c>
      <c r="DA72" s="110"/>
      <c r="DB72" s="44" t="str">
        <f t="shared" ref="DB72:DB77" si="56">IF(DE72&gt;0,VLOOKUP(DC72,$CY$71:$CZ$77,2,0),"")</f>
        <v/>
      </c>
      <c r="DC72" s="27" t="s">
        <v>202</v>
      </c>
      <c r="DE72" s="44">
        <f t="shared" ref="DE72:DE77" si="57">IF(CZ72="",0,2)</f>
        <v>0</v>
      </c>
    </row>
    <row r="73" spans="2:113" ht="30" customHeight="1" x14ac:dyDescent="0.55000000000000004">
      <c r="D73" s="85" t="str">
        <f>IF(B71=5,$DC$10,IF(B71=6,$DD$10,IF(B71=7,$DE$10,"")))</f>
        <v/>
      </c>
      <c r="E73" s="85" t="str">
        <f>IF(B71=5,$DC$11,IF(B71=6,$DD$11,IF(B71=7,$DE$11,"")))</f>
        <v/>
      </c>
      <c r="F73" s="85" t="str">
        <f>IF(B71=5,$DC$12,IF(B71=6,$DD$12,IF(B71=7,$DE$12,"")))</f>
        <v/>
      </c>
      <c r="G73" s="86" t="s">
        <v>36</v>
      </c>
      <c r="H73" s="351" t="str">
        <f>IF(AND(I38=2,CV42&gt;2,I48="ANO"),CS10,IF(AND(I38=3,CV42&gt;0,I48="ANO"),CS12,IF(AND(I38=4,CV42&gt;0,I48="ANO"),CS14,IF(AND(I38=6,CV42&gt;0,I48="ANO"),CS18,IF(AND(I38=8,CV42&gt;0,I48="ANO"),CS22,"")))))</f>
        <v/>
      </c>
      <c r="I73" s="352"/>
      <c r="J73" s="111" t="str">
        <f>IF(R71="","",R71)</f>
        <v/>
      </c>
      <c r="K73" s="91" t="str">
        <f t="shared" si="51"/>
        <v/>
      </c>
      <c r="L73" s="112" t="str">
        <f>IF(P71="","",P71)</f>
        <v/>
      </c>
      <c r="M73" s="111" t="str">
        <f>IF(R72="","",R72)</f>
        <v/>
      </c>
      <c r="N73" s="91" t="str">
        <f>IF(AND(M73="",O73=""),"",":")</f>
        <v/>
      </c>
      <c r="O73" s="112" t="str">
        <f>IF(P72="","",P72)</f>
        <v/>
      </c>
      <c r="P73" s="87"/>
      <c r="Q73" s="88"/>
      <c r="R73" s="89"/>
      <c r="S73" s="90"/>
      <c r="T73" s="91" t="str">
        <f>IF(AND(S73="",U73=""),"",":")</f>
        <v/>
      </c>
      <c r="U73" s="92"/>
      <c r="V73" s="90"/>
      <c r="W73" s="91" t="str">
        <f>IF(AND(V73="",X73=""),"",":")</f>
        <v/>
      </c>
      <c r="X73" s="92"/>
      <c r="Y73" s="90"/>
      <c r="Z73" s="91" t="str">
        <f>IF(AND(Y73="",AA73=""),"",":")</f>
        <v/>
      </c>
      <c r="AA73" s="92"/>
      <c r="AB73" s="90"/>
      <c r="AC73" s="91" t="str">
        <f t="shared" si="35"/>
        <v/>
      </c>
      <c r="AD73" s="92"/>
      <c r="AE73" s="359" t="s">
        <v>285</v>
      </c>
      <c r="AF73" s="354"/>
      <c r="AG73" s="355"/>
      <c r="AH73" s="93">
        <f>IF(R71&gt;P71,1)+IF(R72&gt;P72,1)+IF(S73&gt;U73,1)+IF(V73&gt;X73,1)+IF(Y73&gt;AA73,1)+IF(AB73&gt;AD73,1)</f>
        <v>0</v>
      </c>
      <c r="AI73" s="94" t="s">
        <v>197</v>
      </c>
      <c r="AJ73" s="95">
        <f>R71+R72+S73+V73+Y73+AB73</f>
        <v>0</v>
      </c>
      <c r="AK73" s="96" t="str">
        <f t="shared" si="52"/>
        <v>:</v>
      </c>
      <c r="AL73" s="97">
        <f>P71+P72+U73+X73+AA73+AD73</f>
        <v>0</v>
      </c>
      <c r="AM73" s="98" t="str">
        <f t="shared" si="36"/>
        <v>1.</v>
      </c>
      <c r="AN73" s="99" t="str">
        <f t="shared" si="37"/>
        <v>0 b</v>
      </c>
      <c r="AO73" s="100" t="str">
        <f t="shared" si="38"/>
        <v>(0:0)</v>
      </c>
      <c r="AP73" s="101" t="str">
        <f>IF(AND(BS73=TRUE,BR73&lt;&gt;0),"?","")</f>
        <v/>
      </c>
      <c r="AQ73" s="102"/>
      <c r="AR73" s="103" t="str">
        <f t="shared" si="39"/>
        <v>1.</v>
      </c>
      <c r="AS73" s="102"/>
      <c r="AT73" s="104"/>
      <c r="AU73" s="104">
        <f t="shared" si="40"/>
        <v>0</v>
      </c>
      <c r="AV73" s="104">
        <f t="shared" si="41"/>
        <v>1</v>
      </c>
      <c r="AW73" s="106">
        <f>IF(AV71=AV73,R71,"")</f>
        <v>0</v>
      </c>
      <c r="AX73" s="105">
        <f>IF(AV72=AV73,R72,"")</f>
        <v>0</v>
      </c>
      <c r="AY73" s="105"/>
      <c r="AZ73" s="105">
        <f>IF(AV73=AV74,S73,"")</f>
        <v>0</v>
      </c>
      <c r="BA73" s="105">
        <f>IF(AV73=AV75,V73,"")</f>
        <v>0</v>
      </c>
      <c r="BB73" s="105">
        <f>IF(AV73=AV76,Y73,"")</f>
        <v>0</v>
      </c>
      <c r="BC73" s="105">
        <f>IF(AV73=AV77,AB73,"")</f>
        <v>0</v>
      </c>
      <c r="BD73" s="105">
        <f t="shared" si="42"/>
        <v>0</v>
      </c>
      <c r="BE73" s="105">
        <f t="shared" si="43"/>
        <v>0</v>
      </c>
      <c r="BF73" s="105"/>
      <c r="BG73" s="104">
        <f t="shared" si="44"/>
        <v>1</v>
      </c>
      <c r="BH73" s="105">
        <f>IF(AV71=AV73,P71,"")</f>
        <v>0</v>
      </c>
      <c r="BI73" s="105">
        <f>IF(AV72=AV73,P72,"")</f>
        <v>0</v>
      </c>
      <c r="BJ73" s="105"/>
      <c r="BK73" s="105">
        <f>IF(AV73=AV74,U73,"")</f>
        <v>0</v>
      </c>
      <c r="BL73" s="105">
        <f>IF(AV73=AV75,X73,"")</f>
        <v>0</v>
      </c>
      <c r="BM73" s="105">
        <f>IF(AV73=AV76,AA73,"")</f>
        <v>0</v>
      </c>
      <c r="BN73" s="105">
        <f>IF(AV73=AV77,AD73,"")</f>
        <v>0</v>
      </c>
      <c r="BO73" s="105">
        <f t="shared" si="45"/>
        <v>0</v>
      </c>
      <c r="BQ73" s="10" t="b">
        <f t="shared" si="46"/>
        <v>0</v>
      </c>
      <c r="BR73" s="10">
        <f t="shared" si="53"/>
        <v>0</v>
      </c>
      <c r="BS73" s="10" t="b">
        <f t="shared" si="47"/>
        <v>1</v>
      </c>
      <c r="BT73" s="10">
        <v>1</v>
      </c>
      <c r="BU73" s="10">
        <v>2</v>
      </c>
      <c r="BV73" s="10">
        <v>3</v>
      </c>
      <c r="BW73" s="10">
        <v>4</v>
      </c>
      <c r="BX73" s="10">
        <v>5</v>
      </c>
      <c r="BY73" s="10"/>
      <c r="BZ73" s="10" t="str">
        <f t="shared" si="48"/>
        <v/>
      </c>
      <c r="CA73" s="107"/>
      <c r="CB73" s="104">
        <f t="shared" si="49"/>
        <v>1</v>
      </c>
      <c r="CC73" s="106"/>
      <c r="CD73" s="105"/>
      <c r="CE73" s="105"/>
      <c r="CF73" s="106">
        <f>IF(CB73=CB74,1,"")</f>
        <v>1</v>
      </c>
      <c r="CG73" s="106">
        <f>IF(CB73=CB75,1,"")</f>
        <v>1</v>
      </c>
      <c r="CH73" s="106">
        <f>IF(CB73=CB76,1,"")</f>
        <v>1</v>
      </c>
      <c r="CI73" s="106">
        <f>IF(CB73=CB77,1,"")</f>
        <v>1</v>
      </c>
      <c r="CJ73" s="105">
        <f t="shared" si="50"/>
        <v>4</v>
      </c>
      <c r="CK73" s="107"/>
      <c r="CY73" s="109" t="str">
        <f t="shared" si="54"/>
        <v>1.</v>
      </c>
      <c r="CZ73" s="110" t="str">
        <f t="shared" si="55"/>
        <v/>
      </c>
      <c r="DA73" s="110"/>
      <c r="DB73" s="44" t="str">
        <f t="shared" si="56"/>
        <v/>
      </c>
      <c r="DC73" s="27" t="s">
        <v>203</v>
      </c>
      <c r="DE73" s="44">
        <f t="shared" si="57"/>
        <v>0</v>
      </c>
    </row>
    <row r="74" spans="2:113" ht="30" customHeight="1" x14ac:dyDescent="0.55000000000000004">
      <c r="D74" s="85" t="str">
        <f>IF(B71=5,$DC$13,IF(B71=6,$DD$13,IF(B71=7,$DE$13,"")))</f>
        <v/>
      </c>
      <c r="E74" s="85" t="str">
        <f>IF(B71=6,$DD$14,IF(B71=7,$DE$14,""))</f>
        <v/>
      </c>
      <c r="F74" s="85" t="str">
        <f>IF(B71=6,$DD$15,IF(B71=7,$DE$15,""))</f>
        <v/>
      </c>
      <c r="G74" s="86" t="s">
        <v>4</v>
      </c>
      <c r="H74" s="351" t="str">
        <f>IF(AND(I38=2,CV40&lt;4,CV42&gt;3,I48="ANO"),CS11,IF(AND(I38=2,CV42&gt;3,I48="ANO"),CS12,IF(AND(I38=3,CV40&lt;4,CV42&gt;3,I48="ANO"),CS14,IF(AND(I38=3,CV42&gt;3,I48="ANO"),CS15,IF(AND(I38=4,CV40&lt;4,CV42&gt;3,I48="ANO"),CS17,IF(AND(I38=4,CV42&gt;3,I48="ANO"),CS18,IF(AND(I38=6,CV40&lt;4,CV42&gt;3,I48="ANO"),CS23,IF(AND(I38=6,CV42&gt;3,I48="ANO"),CS24,IF(AND(I38=8,CV40&lt;4,CV42&gt;3,I48="ANO"),CS29,IF(AND(I38=8,CV42&gt;3,I48="ANO"),CS30,""))))))))))</f>
        <v/>
      </c>
      <c r="I74" s="352"/>
      <c r="J74" s="111" t="str">
        <f>IF(U71="","",U71)</f>
        <v/>
      </c>
      <c r="K74" s="91" t="str">
        <f t="shared" si="51"/>
        <v/>
      </c>
      <c r="L74" s="112" t="str">
        <f>IF(S71="","",S71)</f>
        <v/>
      </c>
      <c r="M74" s="111" t="str">
        <f>IF(U72="","",U72)</f>
        <v/>
      </c>
      <c r="N74" s="91" t="str">
        <f>IF(AND(M74="",O74=""),"",":")</f>
        <v/>
      </c>
      <c r="O74" s="112" t="str">
        <f>IF(S72="","",S72)</f>
        <v/>
      </c>
      <c r="P74" s="111" t="str">
        <f>IF(U73="","",U73)</f>
        <v/>
      </c>
      <c r="Q74" s="91" t="str">
        <f t="shared" si="34"/>
        <v/>
      </c>
      <c r="R74" s="112" t="str">
        <f>IF(S73="","",S73)</f>
        <v/>
      </c>
      <c r="S74" s="87"/>
      <c r="T74" s="88"/>
      <c r="U74" s="89"/>
      <c r="V74" s="90"/>
      <c r="W74" s="91" t="str">
        <f>IF(AND(V74="",X74=""),"",":")</f>
        <v/>
      </c>
      <c r="X74" s="92"/>
      <c r="Y74" s="90"/>
      <c r="Z74" s="91" t="str">
        <f>IF(AND(Y74="",AA74=""),"",":")</f>
        <v/>
      </c>
      <c r="AA74" s="92"/>
      <c r="AB74" s="90"/>
      <c r="AC74" s="91" t="str">
        <f t="shared" si="35"/>
        <v/>
      </c>
      <c r="AD74" s="92"/>
      <c r="AE74" s="353" t="s">
        <v>281</v>
      </c>
      <c r="AF74" s="354"/>
      <c r="AG74" s="355"/>
      <c r="AH74" s="93">
        <f>IF(U71&gt;S71,1)+IF(U72&gt;S72,1)+IF(U73&gt;S73,1)+IF(V74&gt;X74,1)+IF(Y74&gt;AA74,1)+IF(AB74&gt;AD74,1)</f>
        <v>0</v>
      </c>
      <c r="AI74" s="94" t="s">
        <v>197</v>
      </c>
      <c r="AJ74" s="95">
        <f>U71+U72+U73+V74+Y74+AB74</f>
        <v>0</v>
      </c>
      <c r="AK74" s="96" t="str">
        <f t="shared" si="52"/>
        <v>:</v>
      </c>
      <c r="AL74" s="97">
        <f>S71+S72+S73+X74+AA74+AD74</f>
        <v>0</v>
      </c>
      <c r="AM74" s="98" t="str">
        <f t="shared" si="36"/>
        <v>1.</v>
      </c>
      <c r="AN74" s="99" t="str">
        <f t="shared" si="37"/>
        <v>0 b</v>
      </c>
      <c r="AO74" s="100" t="str">
        <f t="shared" si="38"/>
        <v>(0:0)</v>
      </c>
      <c r="AP74" s="101" t="str">
        <f>IF(AND(BS74=TRUE,BR74&lt;&gt;0),"?","")</f>
        <v/>
      </c>
      <c r="AQ74" s="102"/>
      <c r="AR74" s="103" t="str">
        <f t="shared" si="39"/>
        <v>1.</v>
      </c>
      <c r="AS74" s="102"/>
      <c r="AT74" s="104"/>
      <c r="AU74" s="104">
        <f t="shared" si="40"/>
        <v>0</v>
      </c>
      <c r="AV74" s="104">
        <f t="shared" si="41"/>
        <v>1</v>
      </c>
      <c r="AW74" s="106">
        <f>IF(AV71=AV74,U71,"")</f>
        <v>0</v>
      </c>
      <c r="AX74" s="105">
        <f>IF(AV72=AV74,U72,"")</f>
        <v>0</v>
      </c>
      <c r="AY74" s="105">
        <f>IF(AV73=AV74,U73,"")</f>
        <v>0</v>
      </c>
      <c r="AZ74" s="105"/>
      <c r="BA74" s="105">
        <f>IF(AV74=AV75,V74,"")</f>
        <v>0</v>
      </c>
      <c r="BB74" s="105">
        <f>IF(AV74=AV76,Y74,"")</f>
        <v>0</v>
      </c>
      <c r="BC74" s="105">
        <f>IF(AV74=AV77,AB74,"")</f>
        <v>0</v>
      </c>
      <c r="BD74" s="105">
        <f t="shared" si="42"/>
        <v>0</v>
      </c>
      <c r="BE74" s="105">
        <f t="shared" si="43"/>
        <v>0</v>
      </c>
      <c r="BF74" s="105"/>
      <c r="BG74" s="104">
        <f t="shared" si="44"/>
        <v>1</v>
      </c>
      <c r="BH74" s="105">
        <f>IF(AV71=AV74,S71,"")</f>
        <v>0</v>
      </c>
      <c r="BI74" s="105">
        <f>IF(AV72=AV74,S72,"")</f>
        <v>0</v>
      </c>
      <c r="BJ74" s="105">
        <f>IF(AV73=AV74,S73,"")</f>
        <v>0</v>
      </c>
      <c r="BK74" s="105"/>
      <c r="BL74" s="105">
        <f>IF(AV74=AV75,X74,"")</f>
        <v>0</v>
      </c>
      <c r="BM74" s="105">
        <f>IF(AV74=AV76,AA74,"")</f>
        <v>0</v>
      </c>
      <c r="BN74" s="105">
        <f>IF(AV74=AV77,AD74,"")</f>
        <v>0</v>
      </c>
      <c r="BO74" s="105">
        <f t="shared" si="45"/>
        <v>0</v>
      </c>
      <c r="BQ74" s="10" t="b">
        <f t="shared" si="46"/>
        <v>0</v>
      </c>
      <c r="BR74" s="10">
        <f t="shared" si="53"/>
        <v>0</v>
      </c>
      <c r="BS74" s="10" t="b">
        <f t="shared" si="47"/>
        <v>1</v>
      </c>
      <c r="BT74" s="10">
        <f>BT72*BT73</f>
        <v>0</v>
      </c>
      <c r="BU74" s="10">
        <f>BU72*BU73</f>
        <v>0</v>
      </c>
      <c r="BV74" s="10">
        <f>BV72*BV73</f>
        <v>0</v>
      </c>
      <c r="BW74" s="10">
        <f>BW72*BW73</f>
        <v>0</v>
      </c>
      <c r="BX74" s="10">
        <f>BX72*BX73</f>
        <v>0</v>
      </c>
      <c r="BY74" s="10"/>
      <c r="BZ74" s="10" t="str">
        <f t="shared" si="48"/>
        <v/>
      </c>
      <c r="CA74" s="107"/>
      <c r="CB74" s="104">
        <f t="shared" si="49"/>
        <v>1</v>
      </c>
      <c r="CC74" s="106"/>
      <c r="CD74" s="105"/>
      <c r="CE74" s="105"/>
      <c r="CF74" s="105"/>
      <c r="CG74" s="106">
        <f>IF(CB74=CB75,1,"")</f>
        <v>1</v>
      </c>
      <c r="CH74" s="106">
        <f>IF(CB74=CB76,1,"")</f>
        <v>1</v>
      </c>
      <c r="CI74" s="106">
        <f>IF(CB74=CB77,1,"")</f>
        <v>1</v>
      </c>
      <c r="CJ74" s="105">
        <f t="shared" si="50"/>
        <v>3</v>
      </c>
      <c r="CK74" s="107"/>
      <c r="CY74" s="109" t="str">
        <f t="shared" si="54"/>
        <v>1.</v>
      </c>
      <c r="CZ74" s="110" t="str">
        <f t="shared" si="55"/>
        <v/>
      </c>
      <c r="DA74" s="110"/>
      <c r="DB74" s="44" t="str">
        <f t="shared" si="56"/>
        <v/>
      </c>
      <c r="DC74" s="27" t="s">
        <v>204</v>
      </c>
      <c r="DE74" s="44">
        <f t="shared" si="57"/>
        <v>0</v>
      </c>
      <c r="DF74" s="44">
        <f>IF($CZ$74="",0,2)</f>
        <v>0</v>
      </c>
      <c r="DG74" s="44">
        <f>IF($CZ$74="",0,2)</f>
        <v>0</v>
      </c>
      <c r="DH74" s="44">
        <f>IF($CZ$74="",0,2)</f>
        <v>0</v>
      </c>
      <c r="DI74" s="44">
        <f>IF($CZ$74="",0,2)</f>
        <v>0</v>
      </c>
    </row>
    <row r="75" spans="2:113" ht="30" customHeight="1" x14ac:dyDescent="0.55000000000000004">
      <c r="D75" s="85" t="str">
        <f>IF(B71=6,$DD$16,IF(B71=7,$DE$16,""))</f>
        <v/>
      </c>
      <c r="E75" s="85" t="str">
        <f>IF(B71=6,$DD$17,IF(B71=7,$DE$17,""))</f>
        <v/>
      </c>
      <c r="F75" s="85" t="str">
        <f>IF(B71=6,$DD$18,IF(B71=7,$DE$18,""))</f>
        <v/>
      </c>
      <c r="G75" s="86" t="s">
        <v>5</v>
      </c>
      <c r="H75" s="351" t="str">
        <f>IF(AND(I38=2,CV40&lt;5,CV42&gt;4,I48="ANO"),CS13,IF(AND(I38=2,CV42&gt;4,I48="ANO"),CS14,IF(AND(I38=3,CV40&lt;5,CV42&gt;4,I48="ANO"),CS17,IF(AND(I38=3,CV42&gt;4,I48="ANO"),CS18,IF(AND(I38=4,CV40&lt;5,CV42&gt;4,I48="ANO"),CS21,IF(AND(I38=4,CV42&gt;4,I48="ANO"),CS22,IF(AND(I38=6,CV40&lt;5,CV42&gt;4,I48="ANO"),CS29,IF(AND(I38=6,CV42&gt;4,I48="ANO"),CS30,IF(AND(I38=8,CV40&lt;5,CV42&gt;4,I48="ANO"),CS37,IF(AND(I38=8,CV42&gt;4,I48="ANO"),CS38,""))))))))))</f>
        <v/>
      </c>
      <c r="I75" s="352"/>
      <c r="J75" s="111" t="str">
        <f>IF(X71="","",X71)</f>
        <v/>
      </c>
      <c r="K75" s="91" t="str">
        <f t="shared" si="51"/>
        <v/>
      </c>
      <c r="L75" s="112" t="str">
        <f>IF(V71="","",V71)</f>
        <v/>
      </c>
      <c r="M75" s="111" t="str">
        <f>IF(X72="","",X72)</f>
        <v/>
      </c>
      <c r="N75" s="91" t="str">
        <f>IF(AND(M75="",O75=""),"",":")</f>
        <v/>
      </c>
      <c r="O75" s="112" t="str">
        <f>IF(V72="","",V72)</f>
        <v/>
      </c>
      <c r="P75" s="111" t="str">
        <f>IF(X73="","",X73)</f>
        <v/>
      </c>
      <c r="Q75" s="91" t="str">
        <f t="shared" si="34"/>
        <v/>
      </c>
      <c r="R75" s="112" t="str">
        <f>IF(V73="","",V73)</f>
        <v/>
      </c>
      <c r="S75" s="111" t="str">
        <f>IF(X74="","",X74)</f>
        <v/>
      </c>
      <c r="T75" s="91" t="str">
        <f>IF(AND(S75="",U75=""),"",":")</f>
        <v/>
      </c>
      <c r="U75" s="112" t="str">
        <f>IF(V74="","",V74)</f>
        <v/>
      </c>
      <c r="V75" s="87"/>
      <c r="W75" s="88"/>
      <c r="X75" s="89"/>
      <c r="Y75" s="90"/>
      <c r="Z75" s="91" t="str">
        <f>IF(AND(Y75="",AA75=""),"",":")</f>
        <v/>
      </c>
      <c r="AA75" s="92"/>
      <c r="AB75" s="90"/>
      <c r="AC75" s="91" t="str">
        <f t="shared" si="35"/>
        <v/>
      </c>
      <c r="AD75" s="92"/>
      <c r="AE75" s="359" t="s">
        <v>286</v>
      </c>
      <c r="AF75" s="354"/>
      <c r="AG75" s="355"/>
      <c r="AH75" s="93">
        <f>IF(X71&gt;V71,1)+IF(X72&gt;V72,1)+IF(X73&gt;V73,1)+IF(X74&gt;V74,1)+IF(Y75&gt;AA75,1)+IF(AB75&gt;AD75,1)</f>
        <v>0</v>
      </c>
      <c r="AI75" s="94" t="s">
        <v>197</v>
      </c>
      <c r="AJ75" s="95">
        <f>X71+X72+X73+X74+Y75+AB75</f>
        <v>0</v>
      </c>
      <c r="AK75" s="96" t="str">
        <f t="shared" si="52"/>
        <v>:</v>
      </c>
      <c r="AL75" s="97">
        <f>V71+V72+V73+V74+AA75+AD75</f>
        <v>0</v>
      </c>
      <c r="AM75" s="98" t="str">
        <f t="shared" si="36"/>
        <v>1.</v>
      </c>
      <c r="AN75" s="99" t="str">
        <f t="shared" si="37"/>
        <v>0 b</v>
      </c>
      <c r="AO75" s="100" t="str">
        <f t="shared" si="38"/>
        <v>(0:0)</v>
      </c>
      <c r="AP75" s="101" t="str">
        <f t="shared" ref="AP75:AP77" si="58">IF(AND(BS75=TRUE,BR75&lt;&gt;0),"?","")</f>
        <v/>
      </c>
      <c r="AQ75" s="102"/>
      <c r="AR75" s="103" t="str">
        <f t="shared" si="39"/>
        <v>1.</v>
      </c>
      <c r="AS75" s="102"/>
      <c r="AT75" s="104"/>
      <c r="AU75" s="104">
        <f t="shared" si="40"/>
        <v>0</v>
      </c>
      <c r="AV75" s="104">
        <f t="shared" si="41"/>
        <v>1</v>
      </c>
      <c r="AW75" s="106">
        <f>IF(AV71=AV75,X71,"")</f>
        <v>0</v>
      </c>
      <c r="AX75" s="105">
        <f>IF(AV72=AV75,X72,"")</f>
        <v>0</v>
      </c>
      <c r="AY75" s="105">
        <f>IF(AV73=AV75,X73,"")</f>
        <v>0</v>
      </c>
      <c r="AZ75" s="105">
        <f>IF(AV74=AV75,X74,"")</f>
        <v>0</v>
      </c>
      <c r="BA75" s="105"/>
      <c r="BB75" s="105">
        <f>IF(AV75=AV76,Y75,"")</f>
        <v>0</v>
      </c>
      <c r="BC75" s="105">
        <f>IF(AV75=AV77,AB75,"")</f>
        <v>0</v>
      </c>
      <c r="BD75" s="105">
        <f t="shared" si="42"/>
        <v>0</v>
      </c>
      <c r="BE75" s="105">
        <f t="shared" si="43"/>
        <v>0</v>
      </c>
      <c r="BF75" s="105"/>
      <c r="BG75" s="104">
        <f t="shared" si="44"/>
        <v>1</v>
      </c>
      <c r="BH75" s="105">
        <f>IF(AV71=AV75,V71,"")</f>
        <v>0</v>
      </c>
      <c r="BI75" s="105">
        <f>IF(AV72=AV75,V72,"")</f>
        <v>0</v>
      </c>
      <c r="BJ75" s="105">
        <f>IF(AV73=AV75,V73,"")</f>
        <v>0</v>
      </c>
      <c r="BK75" s="105">
        <f>IF(AV74=AV75,V74,"")</f>
        <v>0</v>
      </c>
      <c r="BL75" s="105"/>
      <c r="BM75" s="105">
        <f>IF(AV75=AV76,AA75,"")</f>
        <v>0</v>
      </c>
      <c r="BN75" s="105">
        <f>IF(AV75=AV77,AD75,"")</f>
        <v>0</v>
      </c>
      <c r="BO75" s="105">
        <f t="shared" si="45"/>
        <v>0</v>
      </c>
      <c r="BQ75" s="10" t="b">
        <f t="shared" si="46"/>
        <v>0</v>
      </c>
      <c r="BR75" s="10">
        <f t="shared" si="53"/>
        <v>0</v>
      </c>
      <c r="BS75" s="10" t="b">
        <f t="shared" si="47"/>
        <v>1</v>
      </c>
      <c r="BT75" s="10" t="str">
        <f>IF(BT74=0,"",BT74)</f>
        <v/>
      </c>
      <c r="BU75" s="10" t="str">
        <f>IF(BU74=0,"",BU74)</f>
        <v/>
      </c>
      <c r="BV75" s="10" t="str">
        <f>IF(BV74=0,"",BV74)</f>
        <v/>
      </c>
      <c r="BW75" s="10" t="str">
        <f>IF(BW74=0,"",BW74)</f>
        <v/>
      </c>
      <c r="BX75" s="10" t="str">
        <f>IF(BX74=0,"",BX74)</f>
        <v/>
      </c>
      <c r="BY75" s="10"/>
      <c r="BZ75" s="10" t="str">
        <f t="shared" si="48"/>
        <v/>
      </c>
      <c r="CA75" s="107"/>
      <c r="CB75" s="104">
        <f t="shared" si="49"/>
        <v>1</v>
      </c>
      <c r="CC75" s="106"/>
      <c r="CD75" s="105"/>
      <c r="CE75" s="105"/>
      <c r="CF75" s="105"/>
      <c r="CG75" s="105"/>
      <c r="CH75" s="106">
        <f>IF(CB75=CB76,1,"")</f>
        <v>1</v>
      </c>
      <c r="CI75" s="106">
        <f>IF(CB75=CB77,1,"")</f>
        <v>1</v>
      </c>
      <c r="CJ75" s="105">
        <f t="shared" si="50"/>
        <v>2</v>
      </c>
      <c r="CK75" s="107"/>
      <c r="CY75" s="109" t="str">
        <f t="shared" si="54"/>
        <v>1.</v>
      </c>
      <c r="CZ75" s="110" t="str">
        <f t="shared" si="55"/>
        <v/>
      </c>
      <c r="DA75" s="110"/>
      <c r="DB75" s="44" t="str">
        <f t="shared" si="56"/>
        <v/>
      </c>
      <c r="DC75" s="27" t="s">
        <v>205</v>
      </c>
      <c r="DE75" s="44">
        <f t="shared" si="57"/>
        <v>0</v>
      </c>
      <c r="DF75" s="44">
        <f>IF($CZ$75="",0,2)</f>
        <v>0</v>
      </c>
      <c r="DG75" s="44">
        <f>IF($CZ$75="",0,2)</f>
        <v>0</v>
      </c>
      <c r="DH75" s="44">
        <f>IF($CZ$75="",0,2)</f>
        <v>0</v>
      </c>
      <c r="DI75" s="44">
        <f>IF($CZ$75="",0,2)</f>
        <v>0</v>
      </c>
    </row>
    <row r="76" spans="2:113" ht="30" customHeight="1" x14ac:dyDescent="0.55000000000000004">
      <c r="D76" s="85" t="str">
        <f>IF(B71=7,$DE$19,"")</f>
        <v/>
      </c>
      <c r="E76" s="85" t="str">
        <f>IF(B71=7,$DE$20,"")</f>
        <v/>
      </c>
      <c r="F76" s="85" t="str">
        <f>IF(B71=7,$DE$21,"")</f>
        <v/>
      </c>
      <c r="G76" s="86" t="s">
        <v>6</v>
      </c>
      <c r="H76" s="351" t="str">
        <f>IF(AND(I38=2,CV40&lt;6,CV42&gt;5,I48="ANO"),CS15,IF(AND(I38=2,CV42&gt;5,I48="ANO"),CS16,IF(AND(I38=3,CV40&lt;6,CV42&gt;5,I48="ANO"),CS20,IF(AND(I38=3,CV42&gt;5,I48="ANO"),CS21,IF(AND(I38=4,CV40&lt;6,CV42&gt;5,I48="ANO"),CS25,IF(AND(I38=4,CV42&gt;5,I48="ANO"),CS26,IF(AND(I38=6,CV40&lt;6,CV42&gt;5,I48="ANO"),CS35,IF(AND(I38=6,CV42&gt;5,I48="ANO"),CS36,IF(AND(I38=8,CV40&lt;6,CV42&gt;5,I48="ANO"),CS45,IF(AND(I38=8,CV42&gt;5,I48="ANO"),CS46,""))))))))))</f>
        <v/>
      </c>
      <c r="I76" s="352"/>
      <c r="J76" s="111" t="str">
        <f>IF(AA71="","",AA71)</f>
        <v/>
      </c>
      <c r="K76" s="91" t="str">
        <f t="shared" si="51"/>
        <v/>
      </c>
      <c r="L76" s="112" t="str">
        <f>IF(Y71="","",Y71)</f>
        <v/>
      </c>
      <c r="M76" s="111" t="str">
        <f>IF(AA72="","",AA72)</f>
        <v/>
      </c>
      <c r="N76" s="91" t="str">
        <f>IF(AND(M76="",O76=""),"",":")</f>
        <v/>
      </c>
      <c r="O76" s="112" t="str">
        <f>IF(Y72="","",Y72)</f>
        <v/>
      </c>
      <c r="P76" s="111" t="str">
        <f>IF(AA73="","",AA73)</f>
        <v/>
      </c>
      <c r="Q76" s="91" t="str">
        <f t="shared" si="34"/>
        <v/>
      </c>
      <c r="R76" s="112" t="str">
        <f>IF(Y73="","",Y73)</f>
        <v/>
      </c>
      <c r="S76" s="111" t="str">
        <f>IF(AA74="","",AA74)</f>
        <v/>
      </c>
      <c r="T76" s="91" t="str">
        <f>IF(AND(S76="",U76=""),"",":")</f>
        <v/>
      </c>
      <c r="U76" s="112" t="str">
        <f>IF(Y74="","",Y74)</f>
        <v/>
      </c>
      <c r="V76" s="111" t="str">
        <f>IF(AA75="","",AA75)</f>
        <v/>
      </c>
      <c r="W76" s="91" t="str">
        <f>IF(AND(V76="",X76=""),"",":")</f>
        <v/>
      </c>
      <c r="X76" s="112" t="str">
        <f>IF(Y75="","",Y75)</f>
        <v/>
      </c>
      <c r="Y76" s="87"/>
      <c r="Z76" s="88"/>
      <c r="AA76" s="89"/>
      <c r="AB76" s="90"/>
      <c r="AC76" s="91" t="str">
        <f t="shared" si="35"/>
        <v/>
      </c>
      <c r="AD76" s="92"/>
      <c r="AE76" s="353" t="s">
        <v>287</v>
      </c>
      <c r="AF76" s="354"/>
      <c r="AG76" s="355"/>
      <c r="AH76" s="93">
        <f>IF(AA71&gt;Y71,1)+IF(AA72&gt;Y72,1)+IF(AA73&gt;Y73,1)+IF(AA74&gt;Y74,1)+IF(AA75&gt;Y75,1)+IF(AB76&gt;AD76,1)</f>
        <v>0</v>
      </c>
      <c r="AI76" s="94" t="s">
        <v>197</v>
      </c>
      <c r="AJ76" s="95">
        <f>AA71+AA72+AA73+AA74+AA75+AB76</f>
        <v>0</v>
      </c>
      <c r="AK76" s="96" t="str">
        <f t="shared" si="52"/>
        <v>:</v>
      </c>
      <c r="AL76" s="97">
        <f>Y71+Y72+Y73+Y74+Y75+AD76</f>
        <v>0</v>
      </c>
      <c r="AM76" s="98" t="str">
        <f t="shared" si="36"/>
        <v>1.</v>
      </c>
      <c r="AN76" s="99" t="str">
        <f t="shared" si="37"/>
        <v>0 b</v>
      </c>
      <c r="AO76" s="100" t="str">
        <f t="shared" si="38"/>
        <v>(0:0)</v>
      </c>
      <c r="AP76" s="101" t="str">
        <f t="shared" si="58"/>
        <v/>
      </c>
      <c r="AQ76" s="102"/>
      <c r="AR76" s="103" t="str">
        <f t="shared" si="39"/>
        <v>1.</v>
      </c>
      <c r="AS76" s="102"/>
      <c r="AT76" s="104"/>
      <c r="AU76" s="104">
        <f t="shared" si="40"/>
        <v>0</v>
      </c>
      <c r="AV76" s="104">
        <f t="shared" si="41"/>
        <v>1</v>
      </c>
      <c r="AW76" s="106">
        <f>IF(AV71=AV76,AA71,"")</f>
        <v>0</v>
      </c>
      <c r="AX76" s="105">
        <f>IF(AV72=AV76,AA72,"")</f>
        <v>0</v>
      </c>
      <c r="AY76" s="105">
        <f>IF(AV73=AV76,AA73,"")</f>
        <v>0</v>
      </c>
      <c r="AZ76" s="105">
        <f>IF(AV74=AV76,AA74,"")</f>
        <v>0</v>
      </c>
      <c r="BA76" s="105">
        <f>IF(AV75=AV76,AA75,"")</f>
        <v>0</v>
      </c>
      <c r="BB76" s="105"/>
      <c r="BC76" s="105">
        <f>IF(AV76=AV77,AB76,"")</f>
        <v>0</v>
      </c>
      <c r="BD76" s="105">
        <f t="shared" si="42"/>
        <v>0</v>
      </c>
      <c r="BE76" s="105">
        <f t="shared" si="43"/>
        <v>0</v>
      </c>
      <c r="BF76" s="105"/>
      <c r="BG76" s="104">
        <f t="shared" si="44"/>
        <v>1</v>
      </c>
      <c r="BH76" s="105">
        <f>IF(AV71=AV76,Y71,"")</f>
        <v>0</v>
      </c>
      <c r="BI76" s="105">
        <f>IF(AV72=AV76,Y72,"")</f>
        <v>0</v>
      </c>
      <c r="BJ76" s="105">
        <f>IF(AV73=AV76,Y73,"")</f>
        <v>0</v>
      </c>
      <c r="BK76" s="105">
        <f>IF(AV74=AV76,Y74,"")</f>
        <v>0</v>
      </c>
      <c r="BL76" s="105">
        <f>IF(AV75=AV76,Y75,"")</f>
        <v>0</v>
      </c>
      <c r="BM76" s="105"/>
      <c r="BN76" s="105">
        <f>IF(AV76=AV77,AD76,"")</f>
        <v>0</v>
      </c>
      <c r="BO76" s="105">
        <f t="shared" si="45"/>
        <v>0</v>
      </c>
      <c r="BQ76" s="10" t="b">
        <f t="shared" si="46"/>
        <v>0</v>
      </c>
      <c r="BR76" s="10">
        <f t="shared" si="53"/>
        <v>0</v>
      </c>
      <c r="BS76" s="10" t="b">
        <f t="shared" si="47"/>
        <v>1</v>
      </c>
      <c r="BT76" s="10"/>
      <c r="BU76" s="10"/>
      <c r="BV76" s="10"/>
      <c r="BW76" s="10"/>
      <c r="BX76" s="10"/>
      <c r="BY76" s="10"/>
      <c r="BZ76" s="10" t="str">
        <f t="shared" si="48"/>
        <v/>
      </c>
      <c r="CA76" s="107"/>
      <c r="CB76" s="104">
        <f t="shared" si="49"/>
        <v>1</v>
      </c>
      <c r="CC76" s="106"/>
      <c r="CD76" s="105"/>
      <c r="CE76" s="105"/>
      <c r="CF76" s="105"/>
      <c r="CG76" s="105"/>
      <c r="CH76" s="105"/>
      <c r="CI76" s="106">
        <f>IF(CB76=CB77,1,"")</f>
        <v>1</v>
      </c>
      <c r="CJ76" s="105">
        <f t="shared" si="50"/>
        <v>1</v>
      </c>
      <c r="CK76" s="107"/>
      <c r="CY76" s="109" t="str">
        <f t="shared" si="54"/>
        <v>1.</v>
      </c>
      <c r="CZ76" s="110" t="str">
        <f t="shared" si="55"/>
        <v/>
      </c>
      <c r="DA76" s="110"/>
      <c r="DB76" s="44" t="str">
        <f t="shared" si="56"/>
        <v/>
      </c>
      <c r="DC76" s="27" t="s">
        <v>206</v>
      </c>
      <c r="DE76" s="44">
        <f t="shared" si="57"/>
        <v>0</v>
      </c>
      <c r="DF76" s="44">
        <f>IF($CZ$76="",0,2)</f>
        <v>0</v>
      </c>
      <c r="DG76" s="44">
        <f>IF($CZ$76="",0,2)</f>
        <v>0</v>
      </c>
      <c r="DH76" s="44">
        <f>IF($CZ$76="",0,2)</f>
        <v>0</v>
      </c>
      <c r="DI76" s="44">
        <f>IF($CZ$76="",0,2)</f>
        <v>0</v>
      </c>
    </row>
    <row r="77" spans="2:113" ht="30" customHeight="1" x14ac:dyDescent="0.55000000000000004">
      <c r="D77" s="85" t="str">
        <f>IF(B71=7,$DE$22,"")</f>
        <v/>
      </c>
      <c r="E77" s="85" t="str">
        <f>IF(B71=7,$DE$23,"")</f>
        <v/>
      </c>
      <c r="F77" s="85" t="str">
        <f>IF(B71=7,$DE$24,"")</f>
        <v/>
      </c>
      <c r="G77" s="86" t="s">
        <v>7</v>
      </c>
      <c r="H77" s="351" t="str">
        <f>IF(AND(I38=2,CV40&lt;7,CV42&gt;6,I48="ANO"),CS17,IF(AND(I38=2,CV42&gt;6,I48="ANO"),CS18,IF(AND(I38=3,CV40&lt;7,CV42&gt;6,I48="ANO"),CS23,IF(AND(I38=3,CV42&gt;6,I48="ANO"),CS24,IF(AND(I38=4,CV40&lt;7,CV42&gt;6,I48="ANO"),CS29,IF(AND(I38=4,CV42&gt;6,I48="ANO"),CS30,IF(AND(I38=6,CV40&lt;7,CV42&gt;6,I48="ANO"),CS41,IF(AND(I38=6,CV42&gt;6,I48="ANO"),CS42,IF(AND(I38=8,CV40&lt;7,CV42&gt;6,I48="ANO"),CS53,IF(AND(I38=8,CV42&gt;6,I48="ANO"),CS54,""))))))))))</f>
        <v/>
      </c>
      <c r="I77" s="352"/>
      <c r="J77" s="111" t="str">
        <f>IF(AD71="","",AD71)</f>
        <v/>
      </c>
      <c r="K77" s="91" t="str">
        <f t="shared" si="51"/>
        <v/>
      </c>
      <c r="L77" s="112" t="str">
        <f>IF(AB71="","",AB71)</f>
        <v/>
      </c>
      <c r="M77" s="111" t="str">
        <f>IF(AD72="","",AD72)</f>
        <v/>
      </c>
      <c r="N77" s="91" t="str">
        <f>IF(AND(M77="",O77=""),"",":")</f>
        <v/>
      </c>
      <c r="O77" s="112" t="str">
        <f>IF(AB72="","",AB72)</f>
        <v/>
      </c>
      <c r="P77" s="111" t="str">
        <f>IF(AD73="","",AD73)</f>
        <v/>
      </c>
      <c r="Q77" s="91" t="str">
        <f t="shared" si="34"/>
        <v/>
      </c>
      <c r="R77" s="112" t="str">
        <f>IF(AB73="","",AB73)</f>
        <v/>
      </c>
      <c r="S77" s="111" t="str">
        <f>IF(AD74="","",AD74)</f>
        <v/>
      </c>
      <c r="T77" s="91" t="str">
        <f>IF(AND(S77="",U77=""),"",":")</f>
        <v/>
      </c>
      <c r="U77" s="112" t="str">
        <f>IF(AB74="","",AB74)</f>
        <v/>
      </c>
      <c r="V77" s="111" t="str">
        <f>IF(AD75="","",AD75)</f>
        <v/>
      </c>
      <c r="W77" s="91" t="str">
        <f>IF(AND(V77="",X77=""),"",":")</f>
        <v/>
      </c>
      <c r="X77" s="112" t="str">
        <f>IF(AB75="","",AB75)</f>
        <v/>
      </c>
      <c r="Y77" s="111" t="str">
        <f>IF(AD76="","",AD76)</f>
        <v/>
      </c>
      <c r="Z77" s="91" t="str">
        <f>IF(AND(Y77="",AA77=""),"",":")</f>
        <v/>
      </c>
      <c r="AA77" s="112" t="str">
        <f>IF(AB76="","",AB76)</f>
        <v/>
      </c>
      <c r="AB77" s="87"/>
      <c r="AC77" s="88"/>
      <c r="AD77" s="89"/>
      <c r="AE77" s="359" t="s">
        <v>288</v>
      </c>
      <c r="AF77" s="354"/>
      <c r="AG77" s="355"/>
      <c r="AH77" s="93">
        <f>IF(AD71&gt;AB71,1)+IF(AD72&gt;AB72,1)+IF(AD73&gt;AB73,1)+IF(AD74&gt;AB74,1)+IF(AD75&gt;AB75,1)+IF(AD76&gt;AB76,1)</f>
        <v>0</v>
      </c>
      <c r="AI77" s="94" t="s">
        <v>197</v>
      </c>
      <c r="AJ77" s="95">
        <f>AD71+AD72+AD73+AD74+AD75+AD76</f>
        <v>0</v>
      </c>
      <c r="AK77" s="96" t="str">
        <f t="shared" si="52"/>
        <v>:</v>
      </c>
      <c r="AL77" s="97">
        <f>AB71+AB72+AB73+AB74+AB75+AB76</f>
        <v>0</v>
      </c>
      <c r="AM77" s="98" t="str">
        <f t="shared" si="36"/>
        <v>1.</v>
      </c>
      <c r="AN77" s="99" t="str">
        <f t="shared" si="37"/>
        <v>0 b</v>
      </c>
      <c r="AO77" s="100" t="str">
        <f t="shared" si="38"/>
        <v>(0:0)</v>
      </c>
      <c r="AP77" s="101" t="str">
        <f t="shared" si="58"/>
        <v/>
      </c>
      <c r="AQ77" s="102"/>
      <c r="AR77" s="103" t="str">
        <f t="shared" si="39"/>
        <v>1.</v>
      </c>
      <c r="AS77" s="102"/>
      <c r="AT77" s="104"/>
      <c r="AU77" s="104">
        <f t="shared" si="40"/>
        <v>0</v>
      </c>
      <c r="AV77" s="104">
        <f t="shared" si="41"/>
        <v>1</v>
      </c>
      <c r="AW77" s="106">
        <f>IF(AV71=AV77,AD71,"")</f>
        <v>0</v>
      </c>
      <c r="AX77" s="105">
        <f>IF(AV72=AV77,AD72,"")</f>
        <v>0</v>
      </c>
      <c r="AY77" s="105">
        <f>IF(AV73=AV77,AD73,"")</f>
        <v>0</v>
      </c>
      <c r="AZ77" s="105">
        <f>IF(AV74=AV77,AD74,"")</f>
        <v>0</v>
      </c>
      <c r="BA77" s="105">
        <f>IF(AV75=AV77,AD75,"")</f>
        <v>0</v>
      </c>
      <c r="BB77" s="105">
        <f>IF(AV76=AV77,AD76,"")</f>
        <v>0</v>
      </c>
      <c r="BC77" s="105"/>
      <c r="BD77" s="105">
        <f t="shared" si="42"/>
        <v>0</v>
      </c>
      <c r="BE77" s="105">
        <f t="shared" si="43"/>
        <v>0</v>
      </c>
      <c r="BF77" s="105"/>
      <c r="BG77" s="104">
        <f t="shared" si="44"/>
        <v>1</v>
      </c>
      <c r="BH77" s="105">
        <f>IF(AV71=AV77,AB71,"")</f>
        <v>0</v>
      </c>
      <c r="BI77" s="105">
        <f>IF(AV72=AV77,AB72,"")</f>
        <v>0</v>
      </c>
      <c r="BJ77" s="105">
        <f>IF(AV73=AV77,AB73,"")</f>
        <v>0</v>
      </c>
      <c r="BK77" s="105">
        <f>IF(AV74=AV77,AB74,"")</f>
        <v>0</v>
      </c>
      <c r="BL77" s="105">
        <f>IF(AV75=AV77,AB75,"")</f>
        <v>0</v>
      </c>
      <c r="BM77" s="105">
        <f>IF(AV76=AV77,AB76,"")</f>
        <v>0</v>
      </c>
      <c r="BN77" s="105"/>
      <c r="BO77" s="105">
        <f t="shared" si="45"/>
        <v>0</v>
      </c>
      <c r="BQ77" s="10" t="b">
        <f t="shared" si="46"/>
        <v>0</v>
      </c>
      <c r="BR77" s="10">
        <f t="shared" si="53"/>
        <v>0</v>
      </c>
      <c r="BS77" s="10" t="b">
        <f t="shared" si="47"/>
        <v>1</v>
      </c>
      <c r="BT77" s="10"/>
      <c r="BU77" s="10"/>
      <c r="BV77" s="10"/>
      <c r="BW77" s="10"/>
      <c r="BX77" s="10"/>
      <c r="BY77" s="10"/>
      <c r="BZ77" s="10" t="str">
        <f t="shared" si="48"/>
        <v/>
      </c>
      <c r="CA77" s="107"/>
      <c r="CB77" s="104">
        <f t="shared" si="49"/>
        <v>1</v>
      </c>
      <c r="CC77" s="106"/>
      <c r="CD77" s="105"/>
      <c r="CE77" s="105"/>
      <c r="CF77" s="105"/>
      <c r="CG77" s="105"/>
      <c r="CH77" s="105"/>
      <c r="CI77" s="105"/>
      <c r="CJ77" s="105">
        <f t="shared" si="50"/>
        <v>0</v>
      </c>
      <c r="CK77" s="107"/>
      <c r="CY77" s="109" t="str">
        <f t="shared" si="54"/>
        <v>1.</v>
      </c>
      <c r="CZ77" s="110" t="str">
        <f t="shared" si="55"/>
        <v/>
      </c>
      <c r="DA77" s="110"/>
      <c r="DB77" s="44" t="str">
        <f t="shared" si="56"/>
        <v/>
      </c>
      <c r="DC77" s="27" t="s">
        <v>207</v>
      </c>
      <c r="DE77" s="44">
        <f t="shared" si="57"/>
        <v>0</v>
      </c>
      <c r="DF77" s="44">
        <f>IF($CZ$77="",0,2)</f>
        <v>0</v>
      </c>
      <c r="DG77" s="44">
        <f>IF($CZ$77="",0,2)</f>
        <v>0</v>
      </c>
      <c r="DH77" s="44">
        <f>IF($CZ$77="",0,2)</f>
        <v>0</v>
      </c>
      <c r="DI77" s="44">
        <f>IF($CZ$77="",0,2)</f>
        <v>0</v>
      </c>
    </row>
    <row r="78" spans="2:113" ht="11.25" customHeight="1" x14ac:dyDescent="0.5">
      <c r="AK78" s="118"/>
      <c r="AN78" s="119"/>
      <c r="AP78" s="119">
        <f>COUNTIF(AP71:AP77,"&gt;0")</f>
        <v>0</v>
      </c>
      <c r="AU78" s="10">
        <f>COUNTIF(AU71:AU77,"&gt;0")</f>
        <v>0</v>
      </c>
      <c r="AY78" s="10"/>
      <c r="BR78" s="9">
        <f>SUM(BR71:BR77)</f>
        <v>0</v>
      </c>
      <c r="BS78" s="10">
        <f>COUNTIF(BS71:BS77,TRUE)</f>
        <v>7</v>
      </c>
      <c r="BT78" s="9">
        <f>BR78*BS78</f>
        <v>0</v>
      </c>
      <c r="BZ78" s="10">
        <f>COUNTIF(BZ71:BZ77,1)</f>
        <v>0</v>
      </c>
      <c r="CE78" s="10"/>
      <c r="CK78" s="120">
        <f>SUM(AH71:AH77)</f>
        <v>0</v>
      </c>
    </row>
    <row r="80" spans="2:113" ht="15" customHeight="1" x14ac:dyDescent="0.5"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74"/>
    </row>
    <row r="81" spans="2:113" ht="165" customHeight="1" x14ac:dyDescent="0.9">
      <c r="H81" s="356" t="s">
        <v>210</v>
      </c>
      <c r="I81" s="357"/>
      <c r="J81" s="360" t="str">
        <f>H82</f>
        <v/>
      </c>
      <c r="K81" s="345"/>
      <c r="L81" s="346"/>
      <c r="M81" s="360" t="str">
        <f>H83</f>
        <v/>
      </c>
      <c r="N81" s="345"/>
      <c r="O81" s="346"/>
      <c r="P81" s="360" t="str">
        <f>H84</f>
        <v/>
      </c>
      <c r="Q81" s="345"/>
      <c r="R81" s="346"/>
      <c r="S81" s="360" t="str">
        <f>H85</f>
        <v/>
      </c>
      <c r="T81" s="345"/>
      <c r="U81" s="346"/>
      <c r="V81" s="360" t="str">
        <f>H86</f>
        <v/>
      </c>
      <c r="W81" s="345"/>
      <c r="X81" s="346"/>
      <c r="Y81" s="360" t="str">
        <f>H87</f>
        <v/>
      </c>
      <c r="Z81" s="345"/>
      <c r="AA81" s="346"/>
      <c r="AB81" s="360" t="str">
        <f>H88</f>
        <v/>
      </c>
      <c r="AC81" s="345"/>
      <c r="AD81" s="346"/>
      <c r="AE81" s="347" t="s">
        <v>175</v>
      </c>
      <c r="AF81" s="348"/>
      <c r="AG81" s="349"/>
      <c r="AH81" s="347" t="s">
        <v>176</v>
      </c>
      <c r="AI81" s="349"/>
      <c r="AJ81" s="350" t="s">
        <v>177</v>
      </c>
      <c r="AK81" s="350"/>
      <c r="AL81" s="350"/>
      <c r="AM81" s="75" t="s">
        <v>178</v>
      </c>
      <c r="AN81" s="76" t="s">
        <v>179</v>
      </c>
      <c r="AO81" s="76" t="s">
        <v>180</v>
      </c>
      <c r="AP81" s="77" t="s">
        <v>181</v>
      </c>
      <c r="AQ81" s="78"/>
      <c r="AR81" s="78" t="s">
        <v>182</v>
      </c>
      <c r="AS81" s="79"/>
      <c r="AT81" s="80"/>
      <c r="AU81" s="80"/>
      <c r="AV81" s="81" t="s">
        <v>183</v>
      </c>
      <c r="AW81" s="82">
        <v>1</v>
      </c>
      <c r="AX81" s="82">
        <v>2</v>
      </c>
      <c r="AY81" s="82">
        <v>3</v>
      </c>
      <c r="AZ81" s="81" t="s">
        <v>4</v>
      </c>
      <c r="BA81" s="81" t="s">
        <v>5</v>
      </c>
      <c r="BB81" s="81" t="s">
        <v>6</v>
      </c>
      <c r="BC81" s="81" t="s">
        <v>7</v>
      </c>
      <c r="BD81" s="81" t="s">
        <v>184</v>
      </c>
      <c r="BG81" s="81" t="s">
        <v>178</v>
      </c>
      <c r="BH81" s="82">
        <v>1</v>
      </c>
      <c r="BI81" s="82">
        <v>2</v>
      </c>
      <c r="BJ81" s="82">
        <v>3</v>
      </c>
      <c r="BK81" s="81" t="s">
        <v>4</v>
      </c>
      <c r="BL81" s="81" t="s">
        <v>5</v>
      </c>
      <c r="BM81" s="81" t="s">
        <v>6</v>
      </c>
      <c r="BN81" s="81" t="s">
        <v>7</v>
      </c>
      <c r="BO81" s="81" t="s">
        <v>185</v>
      </c>
      <c r="BQ81" s="81" t="s">
        <v>186</v>
      </c>
      <c r="BR81" s="81" t="s">
        <v>187</v>
      </c>
      <c r="BS81" s="81" t="s">
        <v>188</v>
      </c>
      <c r="BT81" s="81" t="s">
        <v>189</v>
      </c>
      <c r="BU81" s="81" t="s">
        <v>190</v>
      </c>
      <c r="BV81" s="81" t="s">
        <v>191</v>
      </c>
      <c r="BW81" s="81" t="s">
        <v>192</v>
      </c>
      <c r="BX81" s="81" t="s">
        <v>193</v>
      </c>
      <c r="BY81" s="81"/>
      <c r="BZ81" s="81" t="s">
        <v>194</v>
      </c>
      <c r="CA81" s="83"/>
      <c r="CB81" s="81" t="s">
        <v>195</v>
      </c>
      <c r="CC81" s="82">
        <v>1</v>
      </c>
      <c r="CD81" s="82">
        <v>2</v>
      </c>
      <c r="CE81" s="82">
        <v>3</v>
      </c>
      <c r="CF81" s="81" t="s">
        <v>4</v>
      </c>
      <c r="CG81" s="81" t="s">
        <v>5</v>
      </c>
      <c r="CH81" s="81" t="s">
        <v>6</v>
      </c>
      <c r="CI81" s="81" t="s">
        <v>7</v>
      </c>
      <c r="CJ81" s="81" t="s">
        <v>184</v>
      </c>
      <c r="CK81" s="83" t="s">
        <v>196</v>
      </c>
      <c r="CY81" s="11" t="s">
        <v>178</v>
      </c>
      <c r="CZ81" s="11" t="s">
        <v>14</v>
      </c>
      <c r="DB81" s="1" t="s">
        <v>14</v>
      </c>
      <c r="DC81" s="1" t="s">
        <v>178</v>
      </c>
    </row>
    <row r="82" spans="2:113" ht="30" customHeight="1" x14ac:dyDescent="0.55000000000000004">
      <c r="B82" s="84">
        <f>CV44</f>
        <v>0</v>
      </c>
      <c r="D82" s="85" t="str">
        <f>IF(B82=3,$DA$4,IF(B82=4,$DB$4,IF(B82=5,$DC$4,IF(B82=6,$DD$4,IF(B82=7,$DE$4,"")))))</f>
        <v/>
      </c>
      <c r="E82" s="85" t="str">
        <f>IF(B82=3,$DA$5,IF(B82=4,$DB$5,IF(B82=5,$DC$5,IF(B82=6,$DD$5,IF(B82=7,$DE$5,"")))))</f>
        <v/>
      </c>
      <c r="F82" s="85" t="str">
        <f>IF(B82=3,$DA$6,IF(B82=4,$DB$6,IF(B82=5,$DC$6,IF(B82=6,$DD$6,IF(B82=7,$DE$6,"")))))</f>
        <v/>
      </c>
      <c r="G82" s="86" t="s">
        <v>21</v>
      </c>
      <c r="H82" s="358" t="str">
        <f>IF(AND(I38=3,CV44&gt;0,I48="ANO"),CS7,IF(AND(I38=4,CV44&gt;0,I48="ANO"),CS7,IF(AND(I36&lt;&gt;8,I38=6,CV44&gt;0,I48="ANO"),CS7,IF(AND(I36=8,I38=6,CV44&gt;0,I48="ANO"),CS9,IF(AND(I38=8,CV44&gt;0,I48="ANO"),CS7,"")))))</f>
        <v/>
      </c>
      <c r="I82" s="358"/>
      <c r="J82" s="87"/>
      <c r="K82" s="88"/>
      <c r="L82" s="89"/>
      <c r="M82" s="90"/>
      <c r="N82" s="91" t="str">
        <f>IF(AND(M82="",O82=""),"",":")</f>
        <v/>
      </c>
      <c r="O82" s="92"/>
      <c r="P82" s="90"/>
      <c r="Q82" s="91" t="str">
        <f t="shared" ref="Q82:Q88" si="59">IF(AND(P82="",R82=""),"",":")</f>
        <v/>
      </c>
      <c r="R82" s="92"/>
      <c r="S82" s="90"/>
      <c r="T82" s="91" t="str">
        <f>IF(AND(S82="",U82=""),"",":")</f>
        <v/>
      </c>
      <c r="U82" s="92"/>
      <c r="V82" s="90"/>
      <c r="W82" s="91" t="str">
        <f>IF(AND(V82="",X82=""),"",":")</f>
        <v/>
      </c>
      <c r="X82" s="92"/>
      <c r="Y82" s="90"/>
      <c r="Z82" s="91" t="str">
        <f>IF(AND(Y82="",AA82=""),"",":")</f>
        <v/>
      </c>
      <c r="AA82" s="92"/>
      <c r="AB82" s="90"/>
      <c r="AC82" s="91" t="str">
        <f t="shared" ref="AC82:AC87" si="60">IF(AND(AB82="",AD82=""),"",":")</f>
        <v/>
      </c>
      <c r="AD82" s="92"/>
      <c r="AE82" s="353">
        <v>180</v>
      </c>
      <c r="AF82" s="354"/>
      <c r="AG82" s="355"/>
      <c r="AH82" s="93">
        <f>IF(M82&gt;O82,1)+IF(P82&gt;R82,1)+IF(S82&gt;U82,1)+IF(V82&gt;X82,1)+IF(Y82&gt;AA82,1)+IF(AB82&gt;AD82,1)</f>
        <v>0</v>
      </c>
      <c r="AI82" s="94" t="s">
        <v>197</v>
      </c>
      <c r="AJ82" s="95">
        <f>M82+P82+S82+V82+Y82+AB82</f>
        <v>0</v>
      </c>
      <c r="AK82" s="96" t="str">
        <f>IF(AND(AJ82="",AL82=""),"",":")</f>
        <v>:</v>
      </c>
      <c r="AL82" s="97">
        <f>O82+R82+U82+X82+AA82+AD82</f>
        <v>0</v>
      </c>
      <c r="AM82" s="98" t="str">
        <f t="shared" ref="AM82:AM88" si="61">COUNTIF($AH$82:$AH$88,"&gt;"&amp;AH82)+COUNTIFS($AH$82:$AH$88,AH82,$AN$82:$AN$88,"&gt;"&amp;AN82)+COUNTIFS($AH$82:$AH$88,AH82,$AN$82:$AN$88,AN82,$BD$82:$BD$88,"&gt;"&amp;BD82)+COUNTIFS($AH$82:$AH$88,AH82,$AN$82:$AN$88,AN82,$BD$82:$BD$88,BD82,$BO$82:$BO$88,"&lt;"&amp;BO82)+COUNTIFS($AH$82:$AH$88,AH82,$AN$82:$AN$88,AN82,$BD$82:$BD$88,BD82,$BO$82:$BO$88,BO82,$AP$82:$AP$88,"&lt;"&amp;AP82)+1 &amp;"."</f>
        <v>1.</v>
      </c>
      <c r="AN82" s="99" t="str">
        <f t="shared" ref="AN82:AN88" si="62">IF(AW82&gt;BH82,1,)+IF(AX82&gt;BI82,1)+IF(AY82&gt;BJ82,1)+IF(AZ82&gt;BK82,1)+IF(BA82&gt;BL82,1)+IF(BB82&gt;BM82,1)+IF(BC82&gt;BN82,1,)&amp;" b"</f>
        <v>0 b</v>
      </c>
      <c r="AO82" s="100" t="str">
        <f t="shared" ref="AO82:AO88" si="63">CONCATENATE("("&amp;(BD82),":",(BO82)&amp;")")</f>
        <v>(0:0)</v>
      </c>
      <c r="AP82" s="101" t="str">
        <f t="shared" ref="AP82:AP88" si="64">IF(AND(BS82=TRUE,BR82&lt;&gt;0),"?","")</f>
        <v/>
      </c>
      <c r="AQ82" s="102"/>
      <c r="AR82" s="103" t="str">
        <f t="shared" ref="AR82:AR88" si="65">RANK(AH82,$AH$82:$AH$88,0)&amp;"."</f>
        <v>1.</v>
      </c>
      <c r="AS82" s="102"/>
      <c r="AT82" s="104"/>
      <c r="AU82" s="104">
        <f t="shared" ref="AU82:AU88" si="66">IF(AW82&gt;BH82,1,)+IF(AX82&gt;BI82,1)+IF(AY82&gt;BJ82,1)+IF(AZ82&gt;BK82,1)+IF(BA82&gt;BL82,1)+IF(BB82&gt;BM82,1)+IF(BC82&gt;BN82,1,)</f>
        <v>0</v>
      </c>
      <c r="AV82" s="104">
        <f t="shared" ref="AV82:AV88" si="67">RANK(AH82,$AH$82:$AH$88,0)</f>
        <v>1</v>
      </c>
      <c r="AW82" s="105"/>
      <c r="AX82" s="106">
        <f>IF(AV82=AV83,M82,"")</f>
        <v>0</v>
      </c>
      <c r="AY82" s="105">
        <f>IF(AV82=AV84,P82,"")</f>
        <v>0</v>
      </c>
      <c r="AZ82" s="105">
        <f>IF(AV82=AV85,S82,"")</f>
        <v>0</v>
      </c>
      <c r="BA82" s="105">
        <f>IF(AV82=AV86,V82,"")</f>
        <v>0</v>
      </c>
      <c r="BB82" s="105">
        <f>IF(AV82=AV87,Y82,"")</f>
        <v>0</v>
      </c>
      <c r="BC82" s="105">
        <f>IF(AV82=AV88,AB82,"")</f>
        <v>0</v>
      </c>
      <c r="BD82" s="105">
        <f t="shared" ref="BD82:BD88" si="68">SUM(AW82:BC82)</f>
        <v>0</v>
      </c>
      <c r="BE82" s="105">
        <f t="shared" ref="BE82:BE88" si="69">IF(BD82=0,0,"1")</f>
        <v>0</v>
      </c>
      <c r="BF82" s="105"/>
      <c r="BG82" s="104">
        <f t="shared" ref="BG82:BG88" si="70">RANK(AH82,$AH$82:$AH$88,0)</f>
        <v>1</v>
      </c>
      <c r="BH82" s="105"/>
      <c r="BI82" s="105">
        <f>IF(AV82=AV83,O82,"")</f>
        <v>0</v>
      </c>
      <c r="BJ82" s="105">
        <f>IF(AV82=AV84,R82,"")</f>
        <v>0</v>
      </c>
      <c r="BK82" s="105">
        <f>IF(AV82=AV85,U82,"")</f>
        <v>0</v>
      </c>
      <c r="BL82" s="105">
        <f>IF(AV82=AV86,X82,"")</f>
        <v>0</v>
      </c>
      <c r="BM82" s="105">
        <f>IF(AV82=AV87,AA82,"")</f>
        <v>0</v>
      </c>
      <c r="BN82" s="105">
        <f>IF(AV82=AV88,AD82,"")</f>
        <v>0</v>
      </c>
      <c r="BO82" s="105">
        <f t="shared" ref="BO82:BO88" si="71">SUM(BH82:BN82)</f>
        <v>0</v>
      </c>
      <c r="BQ82" s="10" t="b">
        <f t="shared" ref="BQ82:BQ88" si="72">IF(COUNTIF($AH$82:$AH$88,1)=1,1,IF(COUNTIF($AH$82:$AH$88,2)=2,2,IF(COUNTIF($AH$82:$AH$88,3)=3,3,IF(COUNTIF($AH$82:$AH$88,4)=4,4,IF(COUNTIF($AH$82:$AH$88,5)=5,5)))))</f>
        <v>0</v>
      </c>
      <c r="BR82" s="10">
        <f>AH82*(BD82*100+AH82+BO82*3.14+AU82*22)*10</f>
        <v>0</v>
      </c>
      <c r="BS82" s="10" t="b">
        <f t="shared" ref="BS82:BS88" si="73">COUNTIF($BR$82:$BR$88,BR82)&gt;1</f>
        <v>1</v>
      </c>
      <c r="BT82" s="10">
        <f>COUNTIF($AH$82:$AH$89,1)</f>
        <v>0</v>
      </c>
      <c r="BU82" s="10">
        <f>COUNTIF($AH$82:$AH$89,2)</f>
        <v>0</v>
      </c>
      <c r="BV82" s="10">
        <f>COUNTIF($AH$82:$AH$89,3)</f>
        <v>0</v>
      </c>
      <c r="BW82" s="10">
        <f>COUNTIF($AH$82:$AH$89,4)</f>
        <v>0</v>
      </c>
      <c r="BX82" s="10">
        <f>COUNTIF($AH$82:$AH$89,5)</f>
        <v>0</v>
      </c>
      <c r="BY82" s="10"/>
      <c r="BZ82" s="10" t="str">
        <f t="shared" ref="BZ82:BZ88" si="74">IF(AND(BS82=TRUE,BR82&lt;&gt;0),"1","")</f>
        <v/>
      </c>
      <c r="CA82" s="107"/>
      <c r="CB82" s="104">
        <f t="shared" ref="CB82:CB88" si="75">RANK(AH82,$AH$82:$AH$88,0)</f>
        <v>1</v>
      </c>
      <c r="CC82" s="105"/>
      <c r="CD82" s="106">
        <f>IF(CB82=CB83,1,"")</f>
        <v>1</v>
      </c>
      <c r="CE82" s="106">
        <f>IF(CB82=CB84,1,"")</f>
        <v>1</v>
      </c>
      <c r="CF82" s="106">
        <f>IF(CB82=CB85,1,"")</f>
        <v>1</v>
      </c>
      <c r="CG82" s="106">
        <f>IF(CB82=CB86,1,"")</f>
        <v>1</v>
      </c>
      <c r="CH82" s="106">
        <f>IF(CB82=CB87,1,"")</f>
        <v>1</v>
      </c>
      <c r="CI82" s="106">
        <f>IF(CB82=CB88,1,"")</f>
        <v>1</v>
      </c>
      <c r="CJ82" s="105">
        <f t="shared" ref="CJ82:CJ88" si="76">SUM(CC82:CI82)</f>
        <v>6</v>
      </c>
      <c r="CK82" s="107"/>
      <c r="CX82" s="11" t="s">
        <v>211</v>
      </c>
      <c r="CY82" s="109" t="str">
        <f>AM82</f>
        <v>1.</v>
      </c>
      <c r="CZ82" s="110" t="str">
        <f>H82</f>
        <v/>
      </c>
      <c r="DA82" s="110"/>
      <c r="DB82" s="44" t="str">
        <f>IF(DE82&gt;0,VLOOKUP(DC82,$CY$82:$CZ$88,2,0),"")</f>
        <v/>
      </c>
      <c r="DC82" s="27" t="s">
        <v>199</v>
      </c>
      <c r="DE82" s="44">
        <f>IF(CZ82="",0,3)</f>
        <v>0</v>
      </c>
    </row>
    <row r="83" spans="2:113" ht="30" customHeight="1" x14ac:dyDescent="0.55000000000000004">
      <c r="D83" s="85" t="str">
        <f>IF(B82=4,$DB$7,IF(B82=5,$DC$7,IF(B82=6,$DD$7,IF(B82=7,$DE$7,""))))</f>
        <v/>
      </c>
      <c r="E83" s="85" t="str">
        <f>IF(B82=4,$DB$8,IF(B82=5,$DC$8,IF(B82=6,$DD$8,IF(B82=7,$DE$8,""))))</f>
        <v/>
      </c>
      <c r="F83" s="85" t="str">
        <f>IF(B82=4,$DB$9,IF(B82=5,$DC$9,IF(B82=6,$DD$9,IF(B82=7,$DE$9,""))))</f>
        <v/>
      </c>
      <c r="G83" s="86" t="s">
        <v>29</v>
      </c>
      <c r="H83" s="358" t="str">
        <f>IF(AND(I36&lt;&gt;4,I38=3,CV44&gt;0,I48="ANO"),CS10,IF(AND(I36=4,I38=3,CV44&gt;0,I48="ANO"),CS8,IF(AND(I36&lt;&gt;8,I38=4,CV44&gt;0,I48="ANO"),CS11,IF(AND(I36=8,I38=4,CV44&gt;0,I48="ANO"),CS10,IF(AND(I36&lt;&gt;8,I38=6,CV44&gt;0,I48="ANO"),CS13,IF(AND(I36=8,I38=6,CV44&gt;0,I48="ANO"),CS12,IF(AND(I36&lt;&gt;16,I38=8,CV44&gt;0,I48="ANO"),CS15,IF(AND(I36=16,I38=8,CV44&gt;0,I48="ANO"),CS18,""))))))))</f>
        <v/>
      </c>
      <c r="I83" s="358"/>
      <c r="J83" s="111" t="str">
        <f>IF(O82="","",O82)</f>
        <v/>
      </c>
      <c r="K83" s="91" t="str">
        <f t="shared" ref="K83:K88" si="77">IF(AND(J83="",L83=""),"",":")</f>
        <v/>
      </c>
      <c r="L83" s="112" t="str">
        <f>IF(M82="","",M82)</f>
        <v/>
      </c>
      <c r="M83" s="87"/>
      <c r="N83" s="88"/>
      <c r="O83" s="89"/>
      <c r="P83" s="90"/>
      <c r="Q83" s="91" t="str">
        <f t="shared" si="59"/>
        <v/>
      </c>
      <c r="R83" s="92"/>
      <c r="S83" s="90"/>
      <c r="T83" s="91" t="str">
        <f>IF(AND(S83="",U83=""),"",":")</f>
        <v/>
      </c>
      <c r="U83" s="92"/>
      <c r="V83" s="90"/>
      <c r="W83" s="91" t="str">
        <f>IF(AND(V83="",X83=""),"",":")</f>
        <v/>
      </c>
      <c r="X83" s="92"/>
      <c r="Y83" s="90"/>
      <c r="Z83" s="91" t="str">
        <f>IF(AND(Y83="",AA83=""),"",":")</f>
        <v/>
      </c>
      <c r="AA83" s="92"/>
      <c r="AB83" s="90"/>
      <c r="AC83" s="91" t="str">
        <f t="shared" si="60"/>
        <v/>
      </c>
      <c r="AD83" s="92"/>
      <c r="AE83" s="359" t="s">
        <v>284</v>
      </c>
      <c r="AF83" s="354"/>
      <c r="AG83" s="355"/>
      <c r="AH83" s="93">
        <f>IF(M82&lt;O82,1)+IF(P83&gt;R83,1)+IF(S83&gt;U83,1)+IF(V83&gt;X83,1)+IF(Y83&gt;AA83,1)+IF(AB83&gt;AD83,1)</f>
        <v>0</v>
      </c>
      <c r="AI83" s="94" t="s">
        <v>197</v>
      </c>
      <c r="AJ83" s="95">
        <f>O82+P83+S83+V83+Y83+AB83</f>
        <v>0</v>
      </c>
      <c r="AK83" s="96" t="str">
        <f t="shared" ref="AK83:AK88" si="78">IF(AND(AJ83="",AL83=""),"",":")</f>
        <v>:</v>
      </c>
      <c r="AL83" s="97">
        <f>M82+R83+U83+X83+AA83+AD83</f>
        <v>0</v>
      </c>
      <c r="AM83" s="98" t="str">
        <f t="shared" si="61"/>
        <v>1.</v>
      </c>
      <c r="AN83" s="99" t="str">
        <f t="shared" si="62"/>
        <v>0 b</v>
      </c>
      <c r="AO83" s="100" t="str">
        <f t="shared" si="63"/>
        <v>(0:0)</v>
      </c>
      <c r="AP83" s="101" t="str">
        <f t="shared" si="64"/>
        <v/>
      </c>
      <c r="AQ83" s="102"/>
      <c r="AR83" s="103" t="str">
        <f t="shared" si="65"/>
        <v>1.</v>
      </c>
      <c r="AS83" s="102"/>
      <c r="AT83" s="104"/>
      <c r="AU83" s="104">
        <f t="shared" si="66"/>
        <v>0</v>
      </c>
      <c r="AV83" s="104">
        <f t="shared" si="67"/>
        <v>1</v>
      </c>
      <c r="AW83" s="106">
        <f>IF(AV82=AV83,O82,"")</f>
        <v>0</v>
      </c>
      <c r="AX83" s="105"/>
      <c r="AY83" s="105">
        <f>IF(AV83=AV84,P83,"")</f>
        <v>0</v>
      </c>
      <c r="AZ83" s="105">
        <f>IF(AV83=AV85,S83,"")</f>
        <v>0</v>
      </c>
      <c r="BA83" s="105">
        <f>IF(AV83=AV86,V83,"")</f>
        <v>0</v>
      </c>
      <c r="BB83" s="105">
        <f>IF(AV83=AV87,Y83,"")</f>
        <v>0</v>
      </c>
      <c r="BC83" s="105">
        <f>IF(AV83=AV88,AB83,"")</f>
        <v>0</v>
      </c>
      <c r="BD83" s="105">
        <f t="shared" si="68"/>
        <v>0</v>
      </c>
      <c r="BE83" s="105">
        <f t="shared" si="69"/>
        <v>0</v>
      </c>
      <c r="BF83" s="105"/>
      <c r="BG83" s="104">
        <f t="shared" si="70"/>
        <v>1</v>
      </c>
      <c r="BH83" s="105">
        <f>IF(AV82=AV83,M82,"")</f>
        <v>0</v>
      </c>
      <c r="BI83" s="105"/>
      <c r="BJ83" s="105">
        <f>IF(AV83=AV84,R83,"")</f>
        <v>0</v>
      </c>
      <c r="BK83" s="105">
        <f>IF(AV83=AV85,U83,"")</f>
        <v>0</v>
      </c>
      <c r="BL83" s="105">
        <f>IF(AV83=AV86,X83,"")</f>
        <v>0</v>
      </c>
      <c r="BM83" s="105">
        <f>IF(AV83=AV87,AA83,"")</f>
        <v>0</v>
      </c>
      <c r="BN83" s="105">
        <f>IF(AV83=AV88,AD83,"")</f>
        <v>0</v>
      </c>
      <c r="BO83" s="105">
        <f t="shared" si="71"/>
        <v>0</v>
      </c>
      <c r="BQ83" s="10" t="b">
        <f t="shared" si="72"/>
        <v>0</v>
      </c>
      <c r="BR83" s="10">
        <f t="shared" ref="BR83:BR88" si="79">AH83*(BD83*100+AH83+BO83*3.14+AU83*22)*10</f>
        <v>0</v>
      </c>
      <c r="BS83" s="10" t="b">
        <f t="shared" si="73"/>
        <v>1</v>
      </c>
      <c r="BT83" s="10">
        <f>IF(BT82&gt;=2,1,0)</f>
        <v>0</v>
      </c>
      <c r="BU83" s="10">
        <f>IF(BU82&gt;=2,1,0)</f>
        <v>0</v>
      </c>
      <c r="BV83" s="10">
        <f>IF(BV82&gt;=2,1,0)</f>
        <v>0</v>
      </c>
      <c r="BW83" s="10">
        <f>IF(BW82&gt;=2,1,0)</f>
        <v>0</v>
      </c>
      <c r="BX83" s="10">
        <f>IF(BX82&gt;=2,1,0)</f>
        <v>0</v>
      </c>
      <c r="BY83" s="10"/>
      <c r="BZ83" s="10" t="str">
        <f t="shared" si="74"/>
        <v/>
      </c>
      <c r="CA83" s="107"/>
      <c r="CB83" s="104">
        <f t="shared" si="75"/>
        <v>1</v>
      </c>
      <c r="CC83" s="106"/>
      <c r="CD83" s="105"/>
      <c r="CE83" s="106">
        <f>IF(CB83=CB84,1,"")</f>
        <v>1</v>
      </c>
      <c r="CF83" s="106">
        <f>IF(CB83=CB85,1,"")</f>
        <v>1</v>
      </c>
      <c r="CG83" s="106">
        <f>IF(CB83=CB86,1,"")</f>
        <v>1</v>
      </c>
      <c r="CH83" s="106">
        <f>IF(CB83=CB87,1,"")</f>
        <v>1</v>
      </c>
      <c r="CI83" s="106">
        <f>IF(CB83=CB88,1,"")</f>
        <v>1</v>
      </c>
      <c r="CJ83" s="105">
        <f t="shared" si="76"/>
        <v>5</v>
      </c>
      <c r="CK83" s="107"/>
      <c r="CY83" s="109" t="str">
        <f t="shared" ref="CY83:CY88" si="80">AM83</f>
        <v>1.</v>
      </c>
      <c r="CZ83" s="110" t="str">
        <f t="shared" ref="CZ83:CZ88" si="81">H83</f>
        <v/>
      </c>
      <c r="DA83" s="110"/>
      <c r="DB83" s="44" t="str">
        <f t="shared" ref="DB83:DB88" si="82">IF(DE83&gt;0,VLOOKUP(DC83,$CY$82:$CZ$88,2,0),"")</f>
        <v/>
      </c>
      <c r="DC83" s="27" t="s">
        <v>202</v>
      </c>
      <c r="DE83" s="44">
        <f t="shared" ref="DE83:DE88" si="83">IF(CZ83="",0,3)</f>
        <v>0</v>
      </c>
    </row>
    <row r="84" spans="2:113" ht="30" customHeight="1" x14ac:dyDescent="0.55000000000000004">
      <c r="D84" s="85" t="str">
        <f>IF(B82=5,$DC$10,IF(B82=6,$DD$10,IF(B82=7,$DE$10,"")))</f>
        <v/>
      </c>
      <c r="E84" s="85" t="str">
        <f>IF(B82=5,$DC$11,IF(B82=6,$DD$11,IF(B82=7,$DE$11,"")))</f>
        <v/>
      </c>
      <c r="F84" s="85" t="str">
        <f>IF(B82=5,$DC$12,IF(B82=6,$DD$12,IF(B82=7,$DE$12,"")))</f>
        <v/>
      </c>
      <c r="G84" s="86" t="s">
        <v>36</v>
      </c>
      <c r="H84" s="358" t="str">
        <f>IF(AND(I38=3,CV44&gt;0,I48="ANO"),CS13,IF(AND(I38=4,CV44&gt;0,I48="ANO"),CS15,IF(AND(I38=6,CV44&gt;0,I48="ANO"),CS19,IF(AND(I38=8,CV44&gt;0,I48="ANO"),CS23,""))))</f>
        <v/>
      </c>
      <c r="I84" s="358"/>
      <c r="J84" s="111" t="str">
        <f>IF(R82="","",R82)</f>
        <v/>
      </c>
      <c r="K84" s="91" t="str">
        <f t="shared" si="77"/>
        <v/>
      </c>
      <c r="L84" s="112" t="str">
        <f>IF(P82="","",P82)</f>
        <v/>
      </c>
      <c r="M84" s="111" t="str">
        <f>IF(R83="","",R83)</f>
        <v/>
      </c>
      <c r="N84" s="91" t="str">
        <f>IF(AND(M84="",O84=""),"",":")</f>
        <v/>
      </c>
      <c r="O84" s="112" t="str">
        <f>IF(P83="","",P83)</f>
        <v/>
      </c>
      <c r="P84" s="87"/>
      <c r="Q84" s="88"/>
      <c r="R84" s="89"/>
      <c r="S84" s="90"/>
      <c r="T84" s="91" t="str">
        <f>IF(AND(S84="",U84=""),"",":")</f>
        <v/>
      </c>
      <c r="U84" s="92"/>
      <c r="V84" s="90"/>
      <c r="W84" s="91" t="str">
        <f>IF(AND(V84="",X84=""),"",":")</f>
        <v/>
      </c>
      <c r="X84" s="92"/>
      <c r="Y84" s="90"/>
      <c r="Z84" s="91" t="str">
        <f>IF(AND(Y84="",AA84=""),"",":")</f>
        <v/>
      </c>
      <c r="AA84" s="92"/>
      <c r="AB84" s="90"/>
      <c r="AC84" s="91" t="str">
        <f t="shared" si="60"/>
        <v/>
      </c>
      <c r="AD84" s="92"/>
      <c r="AE84" s="359" t="s">
        <v>285</v>
      </c>
      <c r="AF84" s="354"/>
      <c r="AG84" s="355"/>
      <c r="AH84" s="93">
        <f>IF(R82&gt;P82,1)+IF(R83&gt;P83,1)+IF(S84&gt;U84,1)+IF(V84&gt;X84,1)+IF(Y84&gt;AA84,1)+IF(AB84&gt;AD84,1)</f>
        <v>0</v>
      </c>
      <c r="AI84" s="94" t="s">
        <v>197</v>
      </c>
      <c r="AJ84" s="95">
        <f>R82+R83+S84+V84+Y84+AB84</f>
        <v>0</v>
      </c>
      <c r="AK84" s="96" t="str">
        <f t="shared" si="78"/>
        <v>:</v>
      </c>
      <c r="AL84" s="97">
        <f>P82+P83+U84+X84+AA84+AD84</f>
        <v>0</v>
      </c>
      <c r="AM84" s="98" t="str">
        <f t="shared" si="61"/>
        <v>1.</v>
      </c>
      <c r="AN84" s="99" t="str">
        <f t="shared" si="62"/>
        <v>0 b</v>
      </c>
      <c r="AO84" s="100" t="str">
        <f t="shared" si="63"/>
        <v>(0:0)</v>
      </c>
      <c r="AP84" s="101" t="str">
        <f t="shared" si="64"/>
        <v/>
      </c>
      <c r="AQ84" s="102"/>
      <c r="AR84" s="103" t="str">
        <f t="shared" si="65"/>
        <v>1.</v>
      </c>
      <c r="AS84" s="102"/>
      <c r="AT84" s="104"/>
      <c r="AU84" s="104">
        <f t="shared" si="66"/>
        <v>0</v>
      </c>
      <c r="AV84" s="104">
        <f t="shared" si="67"/>
        <v>1</v>
      </c>
      <c r="AW84" s="106">
        <f>IF(AV82=AV84,R82,"")</f>
        <v>0</v>
      </c>
      <c r="AX84" s="105">
        <f>IF(AV83=AV84,R83,"")</f>
        <v>0</v>
      </c>
      <c r="AY84" s="105"/>
      <c r="AZ84" s="105">
        <f>IF(AV84=AV85,S84,"")</f>
        <v>0</v>
      </c>
      <c r="BA84" s="105">
        <f>IF(AV84=AV86,V84,"")</f>
        <v>0</v>
      </c>
      <c r="BB84" s="105">
        <f>IF(AV84=AV87,Y84,"")</f>
        <v>0</v>
      </c>
      <c r="BC84" s="105">
        <f>IF(AV84=AV88,AB84,"")</f>
        <v>0</v>
      </c>
      <c r="BD84" s="105">
        <f t="shared" si="68"/>
        <v>0</v>
      </c>
      <c r="BE84" s="105">
        <f t="shared" si="69"/>
        <v>0</v>
      </c>
      <c r="BF84" s="105"/>
      <c r="BG84" s="104">
        <f t="shared" si="70"/>
        <v>1</v>
      </c>
      <c r="BH84" s="105">
        <f>IF(AV82=AV84,P82,"")</f>
        <v>0</v>
      </c>
      <c r="BI84" s="105">
        <f>IF(AV83=AV84,P83,"")</f>
        <v>0</v>
      </c>
      <c r="BJ84" s="105"/>
      <c r="BK84" s="105">
        <f>IF(AV84=AV85,U84,"")</f>
        <v>0</v>
      </c>
      <c r="BL84" s="105">
        <f>IF(AV84=AV86,X84,"")</f>
        <v>0</v>
      </c>
      <c r="BM84" s="105">
        <f>IF(AV84=AV87,AA84,"")</f>
        <v>0</v>
      </c>
      <c r="BN84" s="105">
        <f>IF(AV84=AV88,AD84,"")</f>
        <v>0</v>
      </c>
      <c r="BO84" s="105">
        <f t="shared" si="71"/>
        <v>0</v>
      </c>
      <c r="BQ84" s="10" t="b">
        <f t="shared" si="72"/>
        <v>0</v>
      </c>
      <c r="BR84" s="10">
        <f t="shared" si="79"/>
        <v>0</v>
      </c>
      <c r="BS84" s="10" t="b">
        <f t="shared" si="73"/>
        <v>1</v>
      </c>
      <c r="BT84" s="10">
        <v>1</v>
      </c>
      <c r="BU84" s="10">
        <v>2</v>
      </c>
      <c r="BV84" s="10">
        <v>3</v>
      </c>
      <c r="BW84" s="10">
        <v>4</v>
      </c>
      <c r="BX84" s="10">
        <v>5</v>
      </c>
      <c r="BY84" s="10"/>
      <c r="BZ84" s="10" t="str">
        <f t="shared" si="74"/>
        <v/>
      </c>
      <c r="CA84" s="107"/>
      <c r="CB84" s="104">
        <f t="shared" si="75"/>
        <v>1</v>
      </c>
      <c r="CC84" s="106"/>
      <c r="CD84" s="105"/>
      <c r="CE84" s="105"/>
      <c r="CF84" s="106">
        <f>IF(CB84=CB85,1,"")</f>
        <v>1</v>
      </c>
      <c r="CG84" s="106">
        <f>IF(CB84=CB86,1,"")</f>
        <v>1</v>
      </c>
      <c r="CH84" s="106">
        <f>IF(CB84=CB87,1,"")</f>
        <v>1</v>
      </c>
      <c r="CI84" s="106">
        <f>IF(CB84=CB88,1,"")</f>
        <v>1</v>
      </c>
      <c r="CJ84" s="105">
        <f t="shared" si="76"/>
        <v>4</v>
      </c>
      <c r="CK84" s="107"/>
      <c r="CY84" s="109" t="str">
        <f t="shared" si="80"/>
        <v>1.</v>
      </c>
      <c r="CZ84" s="110" t="str">
        <f t="shared" si="81"/>
        <v/>
      </c>
      <c r="DA84" s="110"/>
      <c r="DB84" s="44" t="str">
        <f t="shared" si="82"/>
        <v/>
      </c>
      <c r="DC84" s="27" t="s">
        <v>203</v>
      </c>
      <c r="DE84" s="44">
        <f t="shared" si="83"/>
        <v>0</v>
      </c>
    </row>
    <row r="85" spans="2:113" ht="30" customHeight="1" x14ac:dyDescent="0.55000000000000004">
      <c r="D85" s="85" t="str">
        <f>IF(B82=5,$DC$13,IF(B82=6,$DD$13,IF(B82=7,$DE$13,"")))</f>
        <v/>
      </c>
      <c r="E85" s="85" t="str">
        <f>IF(B82=6,$DD$14,IF(B82=7,$DE$14,""))</f>
        <v/>
      </c>
      <c r="F85" s="85" t="str">
        <f>IF(B82=6,$DD$15,IF(B82=7,$DE$15,""))</f>
        <v/>
      </c>
      <c r="G85" s="86" t="s">
        <v>4</v>
      </c>
      <c r="H85" s="358" t="str">
        <f>IF(AND(I38=3,CV40&lt;4,CV42&lt;4,CV44&gt;3,I48="ANO"),CS14,IF(AND(I38=3,CV40&lt;4,CV42&gt;3,CV44&gt;3,I48="ANO"),CS15,IF(AND(I38=3,CV42&lt;4,CV44&gt;3,I48="ANO"),CS15,IF(AND(I38=3,CV44&gt;3,I48="ANO"),CS16,IF(AND(I38=4,CV40&lt;4,CV42&lt;4,CV44&gt;3,I48="ANO"),CS17,IF(AND(I38=4,CV40&lt;4,CV42&gt;3,CV44&gt;3,I48="ANO"),CS18,IF(AND(I38=4,CV40&gt;3,CV42&lt;4,CV44&gt;3,I48="ANO"),CS18,IF(AND(I38=4,CV44&gt;3,I48="ANO"),CS19,IF(AND(I38=6,CV40&lt;4,CV42&lt;4,CV44&gt;3,I48="ANO"),CS23,IF(AND(I38=6,CV40&lt;4,CV42&gt;3,CV44&gt;3,I48="ANO"),CS24,IF(AND(I38=6,CV40&gt;3,CV42&lt;4,CV44&gt;3,I48="ANO"),CS24,IF(AND(I38=6,CV44&gt;3,I48="ANO"),CS25,IF(AND(I38=8,CV40&lt;4,CV42&lt;4,CV44&gt;3,I48="ANO"),CS29,IF(AND(I38=8,CV40&lt;4,CV42&gt;3,CV44&gt;3,I48="ANO"),CS30,IF(AND(I38=8,CV40&gt;3,CV42&lt;4,CV44&gt;3,I48="ANO"),CS30,IF(AND(I38=8,CV44&gt;3,I48="ANO"),CS31,""))))))))))))))))</f>
        <v/>
      </c>
      <c r="I85" s="358"/>
      <c r="J85" s="111" t="str">
        <f>IF(U82="","",U82)</f>
        <v/>
      </c>
      <c r="K85" s="91" t="str">
        <f t="shared" si="77"/>
        <v/>
      </c>
      <c r="L85" s="112" t="str">
        <f>IF(S82="","",S82)</f>
        <v/>
      </c>
      <c r="M85" s="111" t="str">
        <f>IF(U83="","",U83)</f>
        <v/>
      </c>
      <c r="N85" s="91" t="str">
        <f>IF(AND(M85="",O85=""),"",":")</f>
        <v/>
      </c>
      <c r="O85" s="112" t="str">
        <f>IF(S83="","",S83)</f>
        <v/>
      </c>
      <c r="P85" s="111" t="str">
        <f>IF(U84="","",U84)</f>
        <v/>
      </c>
      <c r="Q85" s="91" t="str">
        <f t="shared" si="59"/>
        <v/>
      </c>
      <c r="R85" s="112" t="str">
        <f>IF(S84="","",S84)</f>
        <v/>
      </c>
      <c r="S85" s="87"/>
      <c r="T85" s="88"/>
      <c r="U85" s="89"/>
      <c r="V85" s="90"/>
      <c r="W85" s="91" t="str">
        <f>IF(AND(V85="",X85=""),"",":")</f>
        <v/>
      </c>
      <c r="X85" s="92"/>
      <c r="Y85" s="90"/>
      <c r="Z85" s="91" t="str">
        <f>IF(AND(Y85="",AA85=""),"",":")</f>
        <v/>
      </c>
      <c r="AA85" s="92"/>
      <c r="AB85" s="90"/>
      <c r="AC85" s="91" t="str">
        <f t="shared" si="60"/>
        <v/>
      </c>
      <c r="AD85" s="92"/>
      <c r="AE85" s="353" t="s">
        <v>281</v>
      </c>
      <c r="AF85" s="354"/>
      <c r="AG85" s="355"/>
      <c r="AH85" s="93">
        <f>IF(U82&gt;S82,1)+IF(U83&gt;S83,1)+IF(U84&gt;S84,1)+IF(V85&gt;X85,1)+IF(Y85&gt;AA85,1)+IF(AB85&gt;AD85,1)</f>
        <v>0</v>
      </c>
      <c r="AI85" s="94" t="s">
        <v>197</v>
      </c>
      <c r="AJ85" s="95">
        <f>U82+U83+U84+V85+Y85+AB85</f>
        <v>0</v>
      </c>
      <c r="AK85" s="96" t="str">
        <f t="shared" si="78"/>
        <v>:</v>
      </c>
      <c r="AL85" s="97">
        <f>S82+S83+S84+X85+AA85+AD85</f>
        <v>0</v>
      </c>
      <c r="AM85" s="98" t="str">
        <f t="shared" si="61"/>
        <v>1.</v>
      </c>
      <c r="AN85" s="99" t="str">
        <f t="shared" si="62"/>
        <v>0 b</v>
      </c>
      <c r="AO85" s="100" t="str">
        <f t="shared" si="63"/>
        <v>(0:0)</v>
      </c>
      <c r="AP85" s="101" t="str">
        <f t="shared" si="64"/>
        <v/>
      </c>
      <c r="AQ85" s="102"/>
      <c r="AR85" s="103" t="str">
        <f t="shared" si="65"/>
        <v>1.</v>
      </c>
      <c r="AS85" s="102"/>
      <c r="AT85" s="104"/>
      <c r="AU85" s="104">
        <f t="shared" si="66"/>
        <v>0</v>
      </c>
      <c r="AV85" s="104">
        <f t="shared" si="67"/>
        <v>1</v>
      </c>
      <c r="AW85" s="106">
        <f>IF(AV82=AV85,U82,"")</f>
        <v>0</v>
      </c>
      <c r="AX85" s="105">
        <f>IF(AV83=AV85,U83,"")</f>
        <v>0</v>
      </c>
      <c r="AY85" s="105">
        <f>IF(AV84=AV85,U84,"")</f>
        <v>0</v>
      </c>
      <c r="AZ85" s="105"/>
      <c r="BA85" s="105">
        <f>IF(AV85=AV86,V85,"")</f>
        <v>0</v>
      </c>
      <c r="BB85" s="105">
        <f>IF(AV85=AV87,Y85,"")</f>
        <v>0</v>
      </c>
      <c r="BC85" s="105">
        <f>IF(AV85=AV88,AB85,"")</f>
        <v>0</v>
      </c>
      <c r="BD85" s="105">
        <f t="shared" si="68"/>
        <v>0</v>
      </c>
      <c r="BE85" s="105">
        <f t="shared" si="69"/>
        <v>0</v>
      </c>
      <c r="BF85" s="105"/>
      <c r="BG85" s="104">
        <f t="shared" si="70"/>
        <v>1</v>
      </c>
      <c r="BH85" s="105">
        <f>IF(AV82=AV85,S82,"")</f>
        <v>0</v>
      </c>
      <c r="BI85" s="105">
        <f>IF(AV83=AV85,S83,"")</f>
        <v>0</v>
      </c>
      <c r="BJ85" s="105">
        <f>IF(AV84=AV85,S84,"")</f>
        <v>0</v>
      </c>
      <c r="BK85" s="105"/>
      <c r="BL85" s="105">
        <f>IF(AV85=AV86,X85,"")</f>
        <v>0</v>
      </c>
      <c r="BM85" s="105">
        <f>IF(AV85=AV87,AA85,"")</f>
        <v>0</v>
      </c>
      <c r="BN85" s="105">
        <f>IF(AV85=AV88,AD85,"")</f>
        <v>0</v>
      </c>
      <c r="BO85" s="105">
        <f t="shared" si="71"/>
        <v>0</v>
      </c>
      <c r="BQ85" s="10" t="b">
        <f t="shared" si="72"/>
        <v>0</v>
      </c>
      <c r="BR85" s="10">
        <f t="shared" si="79"/>
        <v>0</v>
      </c>
      <c r="BS85" s="10" t="b">
        <f t="shared" si="73"/>
        <v>1</v>
      </c>
      <c r="BT85" s="10">
        <f>BT83*BT84</f>
        <v>0</v>
      </c>
      <c r="BU85" s="10">
        <f>BU83*BU84</f>
        <v>0</v>
      </c>
      <c r="BV85" s="10">
        <f>BV83*BV84</f>
        <v>0</v>
      </c>
      <c r="BW85" s="10">
        <f>BW83*BW84</f>
        <v>0</v>
      </c>
      <c r="BX85" s="10">
        <f>BX83*BX84</f>
        <v>0</v>
      </c>
      <c r="BY85" s="10"/>
      <c r="BZ85" s="10" t="str">
        <f t="shared" si="74"/>
        <v/>
      </c>
      <c r="CA85" s="107"/>
      <c r="CB85" s="104">
        <f t="shared" si="75"/>
        <v>1</v>
      </c>
      <c r="CC85" s="106"/>
      <c r="CD85" s="105"/>
      <c r="CE85" s="105"/>
      <c r="CF85" s="105"/>
      <c r="CG85" s="106">
        <f>IF(CB85=CB86,1,"")</f>
        <v>1</v>
      </c>
      <c r="CH85" s="106">
        <f>IF(CB85=CB87,1,"")</f>
        <v>1</v>
      </c>
      <c r="CI85" s="106">
        <f>IF(CB85=CB88,1,"")</f>
        <v>1</v>
      </c>
      <c r="CJ85" s="105">
        <f t="shared" si="76"/>
        <v>3</v>
      </c>
      <c r="CK85" s="107"/>
      <c r="CY85" s="109" t="str">
        <f t="shared" si="80"/>
        <v>1.</v>
      </c>
      <c r="CZ85" s="110" t="str">
        <f t="shared" si="81"/>
        <v/>
      </c>
      <c r="DA85" s="110"/>
      <c r="DB85" s="44" t="str">
        <f t="shared" si="82"/>
        <v/>
      </c>
      <c r="DC85" s="27" t="s">
        <v>204</v>
      </c>
      <c r="DE85" s="44">
        <f t="shared" si="83"/>
        <v>0</v>
      </c>
      <c r="DF85" s="44">
        <f>IF($CZ$85="",0,3)</f>
        <v>0</v>
      </c>
      <c r="DG85" s="44">
        <f>IF($CZ$85="",0,3)</f>
        <v>0</v>
      </c>
      <c r="DH85" s="44">
        <f>IF($CZ$85="",0,3)</f>
        <v>0</v>
      </c>
      <c r="DI85" s="44">
        <f>IF($CZ$85="",0,3)</f>
        <v>0</v>
      </c>
    </row>
    <row r="86" spans="2:113" ht="30" customHeight="1" x14ac:dyDescent="0.55000000000000004">
      <c r="D86" s="85" t="str">
        <f>IF(B82=6,$DD$16,IF(B82=7,$DE$16,""))</f>
        <v/>
      </c>
      <c r="E86" s="85" t="str">
        <f>IF(B82=6,$DD$17,IF(B82=7,$DE$17,""))</f>
        <v/>
      </c>
      <c r="F86" s="85" t="str">
        <f>IF(B82=6,$DD$18,IF(B82=7,$DE$18,""))</f>
        <v/>
      </c>
      <c r="G86" s="86" t="s">
        <v>5</v>
      </c>
      <c r="H86" s="358" t="str">
        <f>IF(AND(I38=3,CV40&lt;5,CV42&lt;5,CV44&gt;4,I48="ANO"),CS17,IF(AND(I38=3,CV40&lt;5,CV42&gt;4,CV44&gt;4,I48="ANO"),CS18,IF(AND(I38=3,CV42&lt;5,CV44&gt;4,I48="ANO"),CS18,IF(AND(I38=3,CV44&gt;4,I48="ANO"),CS19,IF(AND(I38=4,CV40&lt;5,CV42&lt;5,CV44&gt;4,I48="ANO"),CS21,IF(AND(I38=4,CV40&lt;5,CV42&gt;4,CV44&gt;4,I48="ANO"),CS22,IF(AND(I38=4,CV40&gt;4,CV42&lt;5,CV44&gt;4,I48="ANO"),CS22,IF(AND(I38=4,CV44&gt;4,I48="ANO"),CS23,IF(AND(I38=6,CV40&lt;5,CV42&lt;5,CV44&gt;4,I48="ANO"),CS29,IF(AND(I38=6,CV40&lt;5,CV42&gt;4,CV44&gt;4,I48="ANO"),CS30,IF(AND(I38=6,CV40&gt;4,CV42&lt;5,CV44&gt;4,I48="ANO"),CS30,IF(AND(I38=6,CV44&gt;4,I48="ANO"),CS31,IF(AND(I38=8,CV40&lt;5,CV42&lt;5,CV44&gt;4,I48="ANO"),CS37,IF(AND(I38=8,CV40&lt;5,CV42&gt;4,CV44&gt;4,I48="ANO"),CS38,IF(AND(I38=8,CV40&gt;4,CV42&lt;5,CV44&gt;4,I48="ANO"),CS38,IF(AND(I38=8,CV44&gt;4,I48="ANO"),CS39,""))))))))))))))))</f>
        <v/>
      </c>
      <c r="I86" s="358"/>
      <c r="J86" s="111" t="str">
        <f>IF(X82="","",X82)</f>
        <v/>
      </c>
      <c r="K86" s="91" t="str">
        <f t="shared" si="77"/>
        <v/>
      </c>
      <c r="L86" s="112" t="str">
        <f>IF(V82="","",V82)</f>
        <v/>
      </c>
      <c r="M86" s="111" t="str">
        <f>IF(X83="","",X83)</f>
        <v/>
      </c>
      <c r="N86" s="91" t="str">
        <f>IF(AND(M86="",O86=""),"",":")</f>
        <v/>
      </c>
      <c r="O86" s="112" t="str">
        <f>IF(V83="","",V83)</f>
        <v/>
      </c>
      <c r="P86" s="111" t="str">
        <f>IF(X84="","",X84)</f>
        <v/>
      </c>
      <c r="Q86" s="91" t="str">
        <f t="shared" si="59"/>
        <v/>
      </c>
      <c r="R86" s="112" t="str">
        <f>IF(V84="","",V84)</f>
        <v/>
      </c>
      <c r="S86" s="111" t="str">
        <f>IF(X85="","",X85)</f>
        <v/>
      </c>
      <c r="T86" s="91" t="str">
        <f>IF(AND(S86="",U86=""),"",":")</f>
        <v/>
      </c>
      <c r="U86" s="112" t="str">
        <f>IF(V85="","",V85)</f>
        <v/>
      </c>
      <c r="V86" s="87"/>
      <c r="W86" s="88"/>
      <c r="X86" s="89"/>
      <c r="Y86" s="90"/>
      <c r="Z86" s="91" t="str">
        <f>IF(AND(Y86="",AA86=""),"",":")</f>
        <v/>
      </c>
      <c r="AA86" s="92"/>
      <c r="AB86" s="90"/>
      <c r="AC86" s="91" t="str">
        <f t="shared" si="60"/>
        <v/>
      </c>
      <c r="AD86" s="92"/>
      <c r="AE86" s="359" t="s">
        <v>286</v>
      </c>
      <c r="AF86" s="354"/>
      <c r="AG86" s="355"/>
      <c r="AH86" s="93">
        <f>IF(X82&gt;V82,1)+IF(X83&gt;V83,1)+IF(X84&gt;V84,1)+IF(X85&gt;V85,1)+IF(Y86&gt;AA86,1)+IF(AB86&gt;AD86,1)</f>
        <v>0</v>
      </c>
      <c r="AI86" s="94" t="s">
        <v>197</v>
      </c>
      <c r="AJ86" s="95">
        <f>X82+X83+X84+X85+Y86+AB86</f>
        <v>0</v>
      </c>
      <c r="AK86" s="96" t="str">
        <f t="shared" si="78"/>
        <v>:</v>
      </c>
      <c r="AL86" s="97">
        <f>V82+V83+V84+V85+AA86+AD86</f>
        <v>0</v>
      </c>
      <c r="AM86" s="98" t="str">
        <f t="shared" si="61"/>
        <v>1.</v>
      </c>
      <c r="AN86" s="99" t="str">
        <f t="shared" si="62"/>
        <v>0 b</v>
      </c>
      <c r="AO86" s="100" t="str">
        <f t="shared" si="63"/>
        <v>(0:0)</v>
      </c>
      <c r="AP86" s="101" t="str">
        <f t="shared" si="64"/>
        <v/>
      </c>
      <c r="AQ86" s="102"/>
      <c r="AR86" s="103" t="str">
        <f t="shared" si="65"/>
        <v>1.</v>
      </c>
      <c r="AS86" s="102"/>
      <c r="AT86" s="104"/>
      <c r="AU86" s="104">
        <f t="shared" si="66"/>
        <v>0</v>
      </c>
      <c r="AV86" s="104">
        <f t="shared" si="67"/>
        <v>1</v>
      </c>
      <c r="AW86" s="106">
        <f>IF(AV82=AV86,X82,"")</f>
        <v>0</v>
      </c>
      <c r="AX86" s="105">
        <f>IF(AV83=AV86,X83,"")</f>
        <v>0</v>
      </c>
      <c r="AY86" s="105">
        <f>IF(AV84=AV86,X84,"")</f>
        <v>0</v>
      </c>
      <c r="AZ86" s="105">
        <f>IF(AV85=AV86,X85,"")</f>
        <v>0</v>
      </c>
      <c r="BA86" s="105"/>
      <c r="BB86" s="105">
        <f>IF(AV86=AV87,Y86,"")</f>
        <v>0</v>
      </c>
      <c r="BC86" s="105">
        <f>IF(AV86=AV88,AB86,"")</f>
        <v>0</v>
      </c>
      <c r="BD86" s="105">
        <f t="shared" si="68"/>
        <v>0</v>
      </c>
      <c r="BE86" s="105">
        <f t="shared" si="69"/>
        <v>0</v>
      </c>
      <c r="BF86" s="105"/>
      <c r="BG86" s="104">
        <f t="shared" si="70"/>
        <v>1</v>
      </c>
      <c r="BH86" s="105">
        <f>IF(AV82=AV86,V82,"")</f>
        <v>0</v>
      </c>
      <c r="BI86" s="105">
        <f>IF(AV83=AV86,V83,"")</f>
        <v>0</v>
      </c>
      <c r="BJ86" s="105">
        <f>IF(AV84=AV86,V84,"")</f>
        <v>0</v>
      </c>
      <c r="BK86" s="105">
        <f>IF(AV85=AV86,V85,"")</f>
        <v>0</v>
      </c>
      <c r="BL86" s="105"/>
      <c r="BM86" s="105">
        <f>IF(AV86=AV87,AA86,"")</f>
        <v>0</v>
      </c>
      <c r="BN86" s="105">
        <f>IF(AV86=AV88,AD86,"")</f>
        <v>0</v>
      </c>
      <c r="BO86" s="105">
        <f t="shared" si="71"/>
        <v>0</v>
      </c>
      <c r="BQ86" s="10" t="b">
        <f t="shared" si="72"/>
        <v>0</v>
      </c>
      <c r="BR86" s="10">
        <f t="shared" si="79"/>
        <v>0</v>
      </c>
      <c r="BS86" s="10" t="b">
        <f t="shared" si="73"/>
        <v>1</v>
      </c>
      <c r="BT86" s="10" t="str">
        <f>IF(BT85=0,"",BT85)</f>
        <v/>
      </c>
      <c r="BU86" s="10" t="str">
        <f>IF(BU85=0,"",BU85)</f>
        <v/>
      </c>
      <c r="BV86" s="10" t="str">
        <f>IF(BV85=0,"",BV85)</f>
        <v/>
      </c>
      <c r="BW86" s="10" t="str">
        <f>IF(BW85=0,"",BW85)</f>
        <v/>
      </c>
      <c r="BX86" s="10" t="str">
        <f>IF(BX85=0,"",BX85)</f>
        <v/>
      </c>
      <c r="BY86" s="10"/>
      <c r="BZ86" s="10" t="str">
        <f t="shared" si="74"/>
        <v/>
      </c>
      <c r="CA86" s="107"/>
      <c r="CB86" s="104">
        <f t="shared" si="75"/>
        <v>1</v>
      </c>
      <c r="CC86" s="106"/>
      <c r="CD86" s="105"/>
      <c r="CE86" s="105"/>
      <c r="CF86" s="105"/>
      <c r="CG86" s="105"/>
      <c r="CH86" s="106">
        <f>IF(CB86=CB87,1,"")</f>
        <v>1</v>
      </c>
      <c r="CI86" s="106">
        <f>IF(CB86=CB88,1,"")</f>
        <v>1</v>
      </c>
      <c r="CJ86" s="105">
        <f t="shared" si="76"/>
        <v>2</v>
      </c>
      <c r="CK86" s="107"/>
      <c r="CY86" s="109" t="str">
        <f t="shared" si="80"/>
        <v>1.</v>
      </c>
      <c r="CZ86" s="110" t="str">
        <f t="shared" si="81"/>
        <v/>
      </c>
      <c r="DA86" s="110"/>
      <c r="DB86" s="44" t="str">
        <f t="shared" si="82"/>
        <v/>
      </c>
      <c r="DC86" s="27" t="s">
        <v>205</v>
      </c>
      <c r="DE86" s="44">
        <f t="shared" si="83"/>
        <v>0</v>
      </c>
      <c r="DF86" s="44">
        <f>IF($CZ$86="",0,3)</f>
        <v>0</v>
      </c>
      <c r="DG86" s="44">
        <f>IF($CZ$86="",0,3)</f>
        <v>0</v>
      </c>
      <c r="DH86" s="44">
        <f>IF($CZ$86="",0,3)</f>
        <v>0</v>
      </c>
      <c r="DI86" s="44">
        <f>IF($CZ$86="",0,3)</f>
        <v>0</v>
      </c>
    </row>
    <row r="87" spans="2:113" ht="30" customHeight="1" x14ac:dyDescent="0.55000000000000004">
      <c r="D87" s="85" t="str">
        <f>IF(B82=7,$DE$19,"")</f>
        <v/>
      </c>
      <c r="E87" s="85" t="str">
        <f>IF(B82=7,$DE$20,"")</f>
        <v/>
      </c>
      <c r="F87" s="85" t="str">
        <f>IF(B82=7,$DE$21,"")</f>
        <v/>
      </c>
      <c r="G87" s="86" t="s">
        <v>6</v>
      </c>
      <c r="H87" s="358" t="str">
        <f>IF(AND(I38=3,CV40&lt;6,CV42&lt;6,CV44&gt;5,I48="ANO"),CS20,IF(AND(I38=3,CV40&lt;6,CV42&gt;5,CV44&gt;5,I48="ANO"),CS21,IF(AND(I38=3,CV42&lt;6,CV44&gt;5,I48="ANO"),CS21,IF(AND(I38=3,CV44&gt;5,I48="ANO"),CS22,IF(AND(I38=4,CV40&lt;6,CV42&lt;6,CV44&gt;5,I48="ANO"),CS25,IF(AND(I38=4,CV40&lt;6,CV42&gt;5,CV44&gt;5,I48="ANO"),CS26,IF(AND(I38=4,CV40&gt;5,CV42&lt;6,CV44&gt;5,I48="ANO"),CS26,IF(AND(I38=4,CV44&gt;5,I48="ANO"),CS27,IF(AND(I38=6,CV40&lt;6,CV42&lt;6,CV44&gt;5,I48="ANO"),CS35,IF(AND(I38=6,CV40&lt;6,CV42&gt;5,CV44&gt;5,I48="ANO"),CS36,IF(AND(I38=6,CV40&gt;5,CV42&lt;6,CV44&gt;5,I48="ANO"),CS36,IF(AND(I38=6,CV44&gt;5,I48="ANO"),CS37,IF(AND(I38=8,CV40&lt;6,CV42&lt;6,CV44&gt;5,I48="ANO"),CS45,IF(AND(I38=8,CV40&lt;6,CV42&gt;5,CV44&gt;5,I48="ANO"),CS46,IF(AND(I38=8,CV40&gt;5,CV42&lt;6,CV44&gt;5,I48="ANO"),CS46,IF(AND(I38=8,CV44&gt;5,I48="ANO"),CS47,""))))))))))))))))</f>
        <v/>
      </c>
      <c r="I87" s="358"/>
      <c r="J87" s="111" t="str">
        <f>IF(AA82="","",AA82)</f>
        <v/>
      </c>
      <c r="K87" s="91" t="str">
        <f t="shared" si="77"/>
        <v/>
      </c>
      <c r="L87" s="112" t="str">
        <f>IF(Y82="","",Y82)</f>
        <v/>
      </c>
      <c r="M87" s="111" t="str">
        <f>IF(AA83="","",AA83)</f>
        <v/>
      </c>
      <c r="N87" s="91" t="str">
        <f>IF(AND(M87="",O87=""),"",":")</f>
        <v/>
      </c>
      <c r="O87" s="112" t="str">
        <f>IF(Y83="","",Y83)</f>
        <v/>
      </c>
      <c r="P87" s="111" t="str">
        <f>IF(AA84="","",AA84)</f>
        <v/>
      </c>
      <c r="Q87" s="91" t="str">
        <f t="shared" si="59"/>
        <v/>
      </c>
      <c r="R87" s="112" t="str">
        <f>IF(Y84="","",Y84)</f>
        <v/>
      </c>
      <c r="S87" s="111" t="str">
        <f>IF(AA85="","",AA85)</f>
        <v/>
      </c>
      <c r="T87" s="91" t="str">
        <f>IF(AND(S87="",U87=""),"",":")</f>
        <v/>
      </c>
      <c r="U87" s="112" t="str">
        <f>IF(Y85="","",Y85)</f>
        <v/>
      </c>
      <c r="V87" s="111" t="str">
        <f>IF(AA86="","",AA86)</f>
        <v/>
      </c>
      <c r="W87" s="91" t="str">
        <f>IF(AND(V87="",X87=""),"",":")</f>
        <v/>
      </c>
      <c r="X87" s="112" t="str">
        <f>IF(Y86="","",Y86)</f>
        <v/>
      </c>
      <c r="Y87" s="87"/>
      <c r="Z87" s="88"/>
      <c r="AA87" s="89"/>
      <c r="AB87" s="90"/>
      <c r="AC87" s="91" t="str">
        <f t="shared" si="60"/>
        <v/>
      </c>
      <c r="AD87" s="92"/>
      <c r="AE87" s="353" t="s">
        <v>287</v>
      </c>
      <c r="AF87" s="354"/>
      <c r="AG87" s="355"/>
      <c r="AH87" s="93">
        <f>IF(AA82&gt;Y82,1)+IF(AA83&gt;Y83,1)+IF(AA84&gt;Y84,1)+IF(AA85&gt;Y85,1)+IF(AA86&gt;Y86,1)+IF(AB87&gt;AD87,1)</f>
        <v>0</v>
      </c>
      <c r="AI87" s="94" t="s">
        <v>197</v>
      </c>
      <c r="AJ87" s="95">
        <f>AA82+AA83+AA84+AA85+AA86+AB87</f>
        <v>0</v>
      </c>
      <c r="AK87" s="96" t="str">
        <f t="shared" si="78"/>
        <v>:</v>
      </c>
      <c r="AL87" s="97">
        <f>Y82+Y83+Y84+Y85+Y86+AD87</f>
        <v>0</v>
      </c>
      <c r="AM87" s="98" t="str">
        <f t="shared" si="61"/>
        <v>1.</v>
      </c>
      <c r="AN87" s="99" t="str">
        <f t="shared" si="62"/>
        <v>0 b</v>
      </c>
      <c r="AO87" s="100" t="str">
        <f t="shared" si="63"/>
        <v>(0:0)</v>
      </c>
      <c r="AP87" s="101" t="str">
        <f t="shared" si="64"/>
        <v/>
      </c>
      <c r="AQ87" s="102"/>
      <c r="AR87" s="103" t="str">
        <f t="shared" si="65"/>
        <v>1.</v>
      </c>
      <c r="AS87" s="102"/>
      <c r="AT87" s="104"/>
      <c r="AU87" s="104">
        <f t="shared" si="66"/>
        <v>0</v>
      </c>
      <c r="AV87" s="104">
        <f t="shared" si="67"/>
        <v>1</v>
      </c>
      <c r="AW87" s="106">
        <f>IF(AV82=AV87,AA82,"")</f>
        <v>0</v>
      </c>
      <c r="AX87" s="105">
        <f>IF(AV83=AV87,AA83,"")</f>
        <v>0</v>
      </c>
      <c r="AY87" s="105">
        <f>IF(AV84=AV87,AA84,"")</f>
        <v>0</v>
      </c>
      <c r="AZ87" s="105">
        <f>IF(AV85=AV87,AA85,"")</f>
        <v>0</v>
      </c>
      <c r="BA87" s="105">
        <f>IF(AV86=AV87,AA86,"")</f>
        <v>0</v>
      </c>
      <c r="BB87" s="105"/>
      <c r="BC87" s="105">
        <f>IF(AV87=AV88,AB87,"")</f>
        <v>0</v>
      </c>
      <c r="BD87" s="105">
        <f t="shared" si="68"/>
        <v>0</v>
      </c>
      <c r="BE87" s="105">
        <f t="shared" si="69"/>
        <v>0</v>
      </c>
      <c r="BF87" s="105"/>
      <c r="BG87" s="104">
        <f t="shared" si="70"/>
        <v>1</v>
      </c>
      <c r="BH87" s="105">
        <f>IF(AV82=AV87,Y82,"")</f>
        <v>0</v>
      </c>
      <c r="BI87" s="105">
        <f>IF(AV83=AV87,Y83,"")</f>
        <v>0</v>
      </c>
      <c r="BJ87" s="105">
        <f>IF(AV84=AV87,Y84,"")</f>
        <v>0</v>
      </c>
      <c r="BK87" s="105">
        <f>IF(AV85=AV87,Y85,"")</f>
        <v>0</v>
      </c>
      <c r="BL87" s="105">
        <f>IF(AV86=AV87,Y86,"")</f>
        <v>0</v>
      </c>
      <c r="BM87" s="105"/>
      <c r="BN87" s="105">
        <f>IF(AV87=AV88,AD87,"")</f>
        <v>0</v>
      </c>
      <c r="BO87" s="105">
        <f t="shared" si="71"/>
        <v>0</v>
      </c>
      <c r="BQ87" s="10" t="b">
        <f t="shared" si="72"/>
        <v>0</v>
      </c>
      <c r="BR87" s="10">
        <f t="shared" si="79"/>
        <v>0</v>
      </c>
      <c r="BS87" s="10" t="b">
        <f t="shared" si="73"/>
        <v>1</v>
      </c>
      <c r="BT87" s="10"/>
      <c r="BU87" s="10"/>
      <c r="BV87" s="10"/>
      <c r="BW87" s="10"/>
      <c r="BX87" s="10"/>
      <c r="BY87" s="10"/>
      <c r="BZ87" s="10" t="str">
        <f t="shared" si="74"/>
        <v/>
      </c>
      <c r="CA87" s="107"/>
      <c r="CB87" s="104">
        <f t="shared" si="75"/>
        <v>1</v>
      </c>
      <c r="CC87" s="106"/>
      <c r="CD87" s="105"/>
      <c r="CE87" s="105"/>
      <c r="CF87" s="105"/>
      <c r="CG87" s="105"/>
      <c r="CH87" s="105"/>
      <c r="CI87" s="106">
        <f>IF(CB87=CB88,1,"")</f>
        <v>1</v>
      </c>
      <c r="CJ87" s="105">
        <f t="shared" si="76"/>
        <v>1</v>
      </c>
      <c r="CK87" s="107"/>
      <c r="CY87" s="109" t="str">
        <f t="shared" si="80"/>
        <v>1.</v>
      </c>
      <c r="CZ87" s="110" t="str">
        <f t="shared" si="81"/>
        <v/>
      </c>
      <c r="DA87" s="110"/>
      <c r="DB87" s="44" t="str">
        <f t="shared" si="82"/>
        <v/>
      </c>
      <c r="DC87" s="27" t="s">
        <v>206</v>
      </c>
      <c r="DE87" s="44">
        <f t="shared" si="83"/>
        <v>0</v>
      </c>
      <c r="DF87" s="44">
        <f>IF($CZ$87="",0,3)</f>
        <v>0</v>
      </c>
      <c r="DG87" s="44">
        <f>IF($CZ$87="",0,3)</f>
        <v>0</v>
      </c>
      <c r="DH87" s="44">
        <f>IF($CZ$87="",0,3)</f>
        <v>0</v>
      </c>
      <c r="DI87" s="44">
        <f>IF($CZ$87="",0,3)</f>
        <v>0</v>
      </c>
    </row>
    <row r="88" spans="2:113" ht="30" customHeight="1" x14ac:dyDescent="0.55000000000000004">
      <c r="D88" s="85" t="str">
        <f>IF(B82=7,$DE$22,"")</f>
        <v/>
      </c>
      <c r="E88" s="85" t="str">
        <f>IF(B82=7,$DE$23,"")</f>
        <v/>
      </c>
      <c r="F88" s="85" t="str">
        <f>IF(B82=7,$DE$24,"")</f>
        <v/>
      </c>
      <c r="G88" s="86" t="s">
        <v>7</v>
      </c>
      <c r="H88" s="358" t="str">
        <f>IF(AND(I38=3,CV40&lt;7,CV42&lt;7,CV44&gt;6,I48="ANO"),CS23,IF(AND(I38=3,CV40&lt;7,CV42&gt;6,CV44&gt;6,I48="ANO"),CS24,IF(AND(I38=3,CV42&lt;7,CV44&gt;6,I48="ANO"),CS24,IF(AND(I38=3,CV44&gt;6,I48="ANO"),CS25,IF(AND(I38=4,CV40&lt;7,CV42&lt;7,CV44&gt;6,I48="ANO"),CS29,IF(AND(I38=4,CV40&lt;7,CV42&gt;6,CV44&gt;6,I48="ANO"),CS30,IF(AND(I38=4,CV40&gt;6,CV42&lt;7,CV44&gt;6,I48="ANO"),CS30,IF(AND(I38=4,CV44&gt;6,I48="ANO"),CS31,IF(AND(I38=6,CV40&lt;7,CV42&lt;7,CV44&gt;6,I48="ANO"),CS41,IF(AND(I38=6,CV40&lt;7,CV42&gt;6,CV44&gt;6,I48="ANO"),CS42,IF(AND(I38=6,CV40&gt;6,CV42&lt;7,CV44&gt;6,I48="ANO"),CS42,IF(AND(I38=6,CV44&gt;6,I48="ANO"),CS43,IF(AND(I38=8,CV40&lt;7,CV42&lt;7,CV44&gt;6,I48="ANO"),CS53,IF(AND(I38=8,CV40&lt;7,CV42&gt;6,CV44&gt;6,I48="ANO"),CS54,IF(AND(I38=8,CV40&gt;6,CV42&lt;7,CV44&gt;6,I48="ANO"),CS54,IF(AND(I38=8,CV44&gt;6,I48="ANO"),CS55,""))))))))))))))))</f>
        <v/>
      </c>
      <c r="I88" s="358"/>
      <c r="J88" s="111" t="str">
        <f>IF(AD82="","",AD82)</f>
        <v/>
      </c>
      <c r="K88" s="91" t="str">
        <f t="shared" si="77"/>
        <v/>
      </c>
      <c r="L88" s="112" t="str">
        <f>IF(AB82="","",AB82)</f>
        <v/>
      </c>
      <c r="M88" s="111" t="str">
        <f>IF(AD83="","",AD83)</f>
        <v/>
      </c>
      <c r="N88" s="91" t="str">
        <f>IF(AND(M88="",O88=""),"",":")</f>
        <v/>
      </c>
      <c r="O88" s="112" t="str">
        <f>IF(AB83="","",AB83)</f>
        <v/>
      </c>
      <c r="P88" s="111" t="str">
        <f>IF(AD84="","",AD84)</f>
        <v/>
      </c>
      <c r="Q88" s="91" t="str">
        <f t="shared" si="59"/>
        <v/>
      </c>
      <c r="R88" s="112" t="str">
        <f>IF(AB84="","",AB84)</f>
        <v/>
      </c>
      <c r="S88" s="111" t="str">
        <f>IF(AD85="","",AD85)</f>
        <v/>
      </c>
      <c r="T88" s="91" t="str">
        <f>IF(AND(S88="",U88=""),"",":")</f>
        <v/>
      </c>
      <c r="U88" s="112" t="str">
        <f>IF(AB85="","",AB85)</f>
        <v/>
      </c>
      <c r="V88" s="111" t="str">
        <f>IF(AD86="","",AD86)</f>
        <v/>
      </c>
      <c r="W88" s="91" t="str">
        <f>IF(AND(V88="",X88=""),"",":")</f>
        <v/>
      </c>
      <c r="X88" s="112" t="str">
        <f>IF(AB86="","",AB86)</f>
        <v/>
      </c>
      <c r="Y88" s="111" t="str">
        <f>IF(AD87="","",AD87)</f>
        <v/>
      </c>
      <c r="Z88" s="91" t="str">
        <f>IF(AND(Y88="",AA88=""),"",":")</f>
        <v/>
      </c>
      <c r="AA88" s="112" t="str">
        <f>IF(AB87="","",AB87)</f>
        <v/>
      </c>
      <c r="AB88" s="87"/>
      <c r="AC88" s="88"/>
      <c r="AD88" s="89"/>
      <c r="AE88" s="359" t="s">
        <v>288</v>
      </c>
      <c r="AF88" s="354"/>
      <c r="AG88" s="355"/>
      <c r="AH88" s="93">
        <f>IF(AD82&gt;AB82,1)+IF(AD83&gt;AB83,1)+IF(AD84&gt;AB84,1)+IF(AD85&gt;AB85,1)+IF(AD86&gt;AB86,1)+IF(AD87&gt;AB87,1)</f>
        <v>0</v>
      </c>
      <c r="AI88" s="94" t="s">
        <v>197</v>
      </c>
      <c r="AJ88" s="95">
        <f>AD82+AD83+AD84+AD85+AD86+AD87</f>
        <v>0</v>
      </c>
      <c r="AK88" s="96" t="str">
        <f t="shared" si="78"/>
        <v>:</v>
      </c>
      <c r="AL88" s="97">
        <f>AB82+AB83+AB84+AB85+AB86+AB87</f>
        <v>0</v>
      </c>
      <c r="AM88" s="98" t="str">
        <f t="shared" si="61"/>
        <v>1.</v>
      </c>
      <c r="AN88" s="99" t="str">
        <f t="shared" si="62"/>
        <v>0 b</v>
      </c>
      <c r="AO88" s="100" t="str">
        <f t="shared" si="63"/>
        <v>(0:0)</v>
      </c>
      <c r="AP88" s="101" t="str">
        <f t="shared" si="64"/>
        <v/>
      </c>
      <c r="AQ88" s="102"/>
      <c r="AR88" s="103" t="str">
        <f t="shared" si="65"/>
        <v>1.</v>
      </c>
      <c r="AS88" s="102"/>
      <c r="AT88" s="104"/>
      <c r="AU88" s="104">
        <f t="shared" si="66"/>
        <v>0</v>
      </c>
      <c r="AV88" s="104">
        <f t="shared" si="67"/>
        <v>1</v>
      </c>
      <c r="AW88" s="106">
        <f>IF(AV82=AV88,AD82,"")</f>
        <v>0</v>
      </c>
      <c r="AX88" s="105">
        <f>IF(AV83=AV88,AD83,"")</f>
        <v>0</v>
      </c>
      <c r="AY88" s="105">
        <f>IF(AV84=AV88,AD84,"")</f>
        <v>0</v>
      </c>
      <c r="AZ88" s="105">
        <f>IF(AV85=AV88,AD85,"")</f>
        <v>0</v>
      </c>
      <c r="BA88" s="105">
        <f>IF(AV86=AV88,AD86,"")</f>
        <v>0</v>
      </c>
      <c r="BB88" s="105">
        <f>IF(AV87=AV88,AD87,"")</f>
        <v>0</v>
      </c>
      <c r="BC88" s="105"/>
      <c r="BD88" s="105">
        <f t="shared" si="68"/>
        <v>0</v>
      </c>
      <c r="BE88" s="105">
        <f t="shared" si="69"/>
        <v>0</v>
      </c>
      <c r="BF88" s="105"/>
      <c r="BG88" s="104">
        <f t="shared" si="70"/>
        <v>1</v>
      </c>
      <c r="BH88" s="105">
        <f>IF(AV82=AV88,AB82,"")</f>
        <v>0</v>
      </c>
      <c r="BI88" s="105">
        <f>IF(AV83=AV88,AB83,"")</f>
        <v>0</v>
      </c>
      <c r="BJ88" s="105">
        <f>IF(AV84=AV88,AB84,"")</f>
        <v>0</v>
      </c>
      <c r="BK88" s="105">
        <f>IF(AV85=AV88,AB85,"")</f>
        <v>0</v>
      </c>
      <c r="BL88" s="105">
        <f>IF(AV86=AV88,AB86,"")</f>
        <v>0</v>
      </c>
      <c r="BM88" s="105">
        <f>IF(AV87=AV88,AB87,"")</f>
        <v>0</v>
      </c>
      <c r="BN88" s="105"/>
      <c r="BO88" s="105">
        <f t="shared" si="71"/>
        <v>0</v>
      </c>
      <c r="BQ88" s="10" t="b">
        <f t="shared" si="72"/>
        <v>0</v>
      </c>
      <c r="BR88" s="10">
        <f t="shared" si="79"/>
        <v>0</v>
      </c>
      <c r="BS88" s="10" t="b">
        <f t="shared" si="73"/>
        <v>1</v>
      </c>
      <c r="BT88" s="10"/>
      <c r="BU88" s="10"/>
      <c r="BV88" s="10"/>
      <c r="BW88" s="10"/>
      <c r="BX88" s="10"/>
      <c r="BY88" s="10"/>
      <c r="BZ88" s="10" t="str">
        <f t="shared" si="74"/>
        <v/>
      </c>
      <c r="CA88" s="107"/>
      <c r="CB88" s="104">
        <f t="shared" si="75"/>
        <v>1</v>
      </c>
      <c r="CC88" s="106"/>
      <c r="CD88" s="105"/>
      <c r="CE88" s="105"/>
      <c r="CF88" s="105"/>
      <c r="CG88" s="105"/>
      <c r="CH88" s="105"/>
      <c r="CI88" s="105"/>
      <c r="CJ88" s="105">
        <f t="shared" si="76"/>
        <v>0</v>
      </c>
      <c r="CK88" s="107"/>
      <c r="CY88" s="109" t="str">
        <f t="shared" si="80"/>
        <v>1.</v>
      </c>
      <c r="CZ88" s="110" t="str">
        <f t="shared" si="81"/>
        <v/>
      </c>
      <c r="DA88" s="110"/>
      <c r="DB88" s="44" t="str">
        <f t="shared" si="82"/>
        <v/>
      </c>
      <c r="DC88" s="27" t="s">
        <v>207</v>
      </c>
      <c r="DE88" s="44">
        <f t="shared" si="83"/>
        <v>0</v>
      </c>
      <c r="DF88" s="44">
        <f>IF($CZ$88="",0,3)</f>
        <v>0</v>
      </c>
      <c r="DG88" s="44">
        <f>IF($CZ$88="",0,3)</f>
        <v>0</v>
      </c>
      <c r="DH88" s="44">
        <f>IF($CZ$88="",0,3)</f>
        <v>0</v>
      </c>
      <c r="DI88" s="44">
        <f>IF($CZ$88="",0,3)</f>
        <v>0</v>
      </c>
    </row>
    <row r="89" spans="2:113" ht="11.25" customHeight="1" x14ac:dyDescent="0.5">
      <c r="AK89" s="118"/>
      <c r="AN89" s="119"/>
      <c r="AP89" s="119">
        <f>COUNTIF(AP82:AP88,"&gt;0")</f>
        <v>0</v>
      </c>
      <c r="AU89" s="10">
        <f>COUNTIF(AU82:AU88,"&gt;0")</f>
        <v>0</v>
      </c>
      <c r="AY89" s="10"/>
      <c r="BR89" s="9">
        <f>SUM(BR82:BR88)</f>
        <v>0</v>
      </c>
      <c r="BS89" s="10">
        <f>COUNTIF(BS82:BS88,TRUE)</f>
        <v>7</v>
      </c>
      <c r="BT89" s="9">
        <f>BR89*BS89</f>
        <v>0</v>
      </c>
      <c r="BZ89" s="10">
        <f>COUNTIF(BZ82:BZ88,1)</f>
        <v>0</v>
      </c>
      <c r="CE89" s="10"/>
      <c r="CK89" s="120">
        <f>SUM(AH82:AH88)</f>
        <v>0</v>
      </c>
    </row>
    <row r="91" spans="2:113" ht="15" customHeight="1" x14ac:dyDescent="0.5"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74"/>
    </row>
    <row r="92" spans="2:113" ht="165" customHeight="1" x14ac:dyDescent="0.9">
      <c r="H92" s="356" t="s">
        <v>212</v>
      </c>
      <c r="I92" s="357"/>
      <c r="J92" s="360" t="str">
        <f>H93</f>
        <v/>
      </c>
      <c r="K92" s="345"/>
      <c r="L92" s="346"/>
      <c r="M92" s="360" t="str">
        <f>H94</f>
        <v/>
      </c>
      <c r="N92" s="345"/>
      <c r="O92" s="346"/>
      <c r="P92" s="360" t="str">
        <f>H95</f>
        <v/>
      </c>
      <c r="Q92" s="345"/>
      <c r="R92" s="346"/>
      <c r="S92" s="360" t="str">
        <f>H96</f>
        <v/>
      </c>
      <c r="T92" s="345"/>
      <c r="U92" s="346"/>
      <c r="V92" s="360" t="str">
        <f>H97</f>
        <v/>
      </c>
      <c r="W92" s="345"/>
      <c r="X92" s="346"/>
      <c r="Y92" s="360" t="str">
        <f>H98</f>
        <v/>
      </c>
      <c r="Z92" s="345"/>
      <c r="AA92" s="346"/>
      <c r="AB92" s="360" t="str">
        <f>H99</f>
        <v/>
      </c>
      <c r="AC92" s="345"/>
      <c r="AD92" s="346"/>
      <c r="AE92" s="347" t="s">
        <v>175</v>
      </c>
      <c r="AF92" s="348"/>
      <c r="AG92" s="349"/>
      <c r="AH92" s="347" t="s">
        <v>176</v>
      </c>
      <c r="AI92" s="349"/>
      <c r="AJ92" s="350" t="s">
        <v>177</v>
      </c>
      <c r="AK92" s="350"/>
      <c r="AL92" s="350"/>
      <c r="AM92" s="75" t="s">
        <v>178</v>
      </c>
      <c r="AN92" s="76" t="s">
        <v>179</v>
      </c>
      <c r="AO92" s="76" t="s">
        <v>180</v>
      </c>
      <c r="AP92" s="77" t="s">
        <v>181</v>
      </c>
      <c r="AQ92" s="78"/>
      <c r="AR92" s="78" t="s">
        <v>182</v>
      </c>
      <c r="AS92" s="79"/>
      <c r="AT92" s="80"/>
      <c r="AU92" s="80"/>
      <c r="AV92" s="81" t="s">
        <v>183</v>
      </c>
      <c r="AW92" s="82">
        <v>1</v>
      </c>
      <c r="AX92" s="82">
        <v>2</v>
      </c>
      <c r="AY92" s="82">
        <v>3</v>
      </c>
      <c r="AZ92" s="81" t="s">
        <v>4</v>
      </c>
      <c r="BA92" s="81" t="s">
        <v>5</v>
      </c>
      <c r="BB92" s="81" t="s">
        <v>6</v>
      </c>
      <c r="BC92" s="81" t="s">
        <v>7</v>
      </c>
      <c r="BD92" s="81" t="s">
        <v>184</v>
      </c>
      <c r="BG92" s="81" t="s">
        <v>178</v>
      </c>
      <c r="BH92" s="82">
        <v>1</v>
      </c>
      <c r="BI92" s="82">
        <v>2</v>
      </c>
      <c r="BJ92" s="82">
        <v>3</v>
      </c>
      <c r="BK92" s="81" t="s">
        <v>4</v>
      </c>
      <c r="BL92" s="81" t="s">
        <v>5</v>
      </c>
      <c r="BM92" s="81" t="s">
        <v>6</v>
      </c>
      <c r="BN92" s="81" t="s">
        <v>7</v>
      </c>
      <c r="BO92" s="81" t="s">
        <v>185</v>
      </c>
      <c r="BQ92" s="81" t="s">
        <v>186</v>
      </c>
      <c r="BR92" s="81" t="s">
        <v>187</v>
      </c>
      <c r="BS92" s="81" t="s">
        <v>188</v>
      </c>
      <c r="BT92" s="81" t="s">
        <v>189</v>
      </c>
      <c r="BU92" s="81" t="s">
        <v>190</v>
      </c>
      <c r="BV92" s="81" t="s">
        <v>191</v>
      </c>
      <c r="BW92" s="81" t="s">
        <v>192</v>
      </c>
      <c r="BX92" s="81" t="s">
        <v>193</v>
      </c>
      <c r="BY92" s="81"/>
      <c r="BZ92" s="81" t="s">
        <v>194</v>
      </c>
      <c r="CA92" s="83"/>
      <c r="CB92" s="81" t="s">
        <v>195</v>
      </c>
      <c r="CC92" s="82">
        <v>1</v>
      </c>
      <c r="CD92" s="82">
        <v>2</v>
      </c>
      <c r="CE92" s="82">
        <v>3</v>
      </c>
      <c r="CF92" s="81" t="s">
        <v>4</v>
      </c>
      <c r="CG92" s="81" t="s">
        <v>5</v>
      </c>
      <c r="CH92" s="81" t="s">
        <v>6</v>
      </c>
      <c r="CI92" s="81" t="s">
        <v>7</v>
      </c>
      <c r="CJ92" s="81" t="s">
        <v>184</v>
      </c>
      <c r="CK92" s="83" t="s">
        <v>196</v>
      </c>
      <c r="CY92" s="11" t="s">
        <v>178</v>
      </c>
      <c r="CZ92" s="11" t="s">
        <v>14</v>
      </c>
      <c r="DB92" s="1" t="s">
        <v>14</v>
      </c>
      <c r="DC92" s="1" t="s">
        <v>178</v>
      </c>
    </row>
    <row r="93" spans="2:113" ht="30" customHeight="1" x14ac:dyDescent="0.55000000000000004">
      <c r="B93" s="84">
        <f>CV46</f>
        <v>0</v>
      </c>
      <c r="D93" s="85" t="str">
        <f>IF(B93=3,$DA$4,IF(B93=4,$DB$4,IF(B93=5,$DC$4,IF(B93=6,$DD$4,IF(B93=7,$DE$4,"")))))</f>
        <v/>
      </c>
      <c r="E93" s="85" t="str">
        <f>IF(B93=3,$DA$5,IF(B93=4,$DB$5,IF(B93=5,$DC$5,IF(B93=6,$DD$5,IF(B93=7,$DE$5,"")))))</f>
        <v/>
      </c>
      <c r="F93" s="85" t="str">
        <f>IF(B93=3,$DA$6,IF(B93=4,$DB$6,IF(B93=5,$DC$6,IF(B93=6,$DD$6,IF(B93=7,$DE$6,"")))))</f>
        <v/>
      </c>
      <c r="G93" s="86" t="s">
        <v>21</v>
      </c>
      <c r="H93" s="358" t="str">
        <f>IF(AND(I38=4,CV46&gt;0,I48="ANO"),CS8,IF(AND(I36&lt;&gt;8,I38=6,CV46&gt;0,I48="ANO"),CS8,IF(AND(I36=8,I38=6,CV46&gt;0,I48="ANO"),CS6,IF(AND(I38=8,CV46&gt;0,I48="ANO"),CS8,""))))</f>
        <v/>
      </c>
      <c r="I93" s="358"/>
      <c r="J93" s="87"/>
      <c r="K93" s="88"/>
      <c r="L93" s="89"/>
      <c r="M93" s="90"/>
      <c r="N93" s="91" t="str">
        <f>IF(AND(M93="",O93=""),"",":")</f>
        <v/>
      </c>
      <c r="O93" s="92"/>
      <c r="P93" s="90"/>
      <c r="Q93" s="91" t="str">
        <f t="shared" ref="Q93:Q99" si="84">IF(AND(P93="",R93=""),"",":")</f>
        <v/>
      </c>
      <c r="R93" s="92"/>
      <c r="S93" s="90"/>
      <c r="T93" s="91" t="str">
        <f>IF(AND(S93="",U93=""),"",":")</f>
        <v/>
      </c>
      <c r="U93" s="92"/>
      <c r="V93" s="90"/>
      <c r="W93" s="91" t="str">
        <f>IF(AND(V93="",X93=""),"",":")</f>
        <v/>
      </c>
      <c r="X93" s="92"/>
      <c r="Y93" s="90"/>
      <c r="Z93" s="91" t="str">
        <f>IF(AND(Y93="",AA93=""),"",":")</f>
        <v/>
      </c>
      <c r="AA93" s="92"/>
      <c r="AB93" s="90"/>
      <c r="AC93" s="91" t="str">
        <f t="shared" ref="AC93:AC98" si="85">IF(AND(AB93="",AD93=""),"",":")</f>
        <v/>
      </c>
      <c r="AD93" s="92"/>
      <c r="AE93" s="353">
        <v>180</v>
      </c>
      <c r="AF93" s="354"/>
      <c r="AG93" s="355"/>
      <c r="AH93" s="93">
        <f>IF(M93&gt;O93,1)+IF(P93&gt;R93,1)+IF(S93&gt;U93,1)+IF(V93&gt;X93,1)+IF(Y93&gt;AA93,1)+IF(AB93&gt;AD93,1)</f>
        <v>0</v>
      </c>
      <c r="AI93" s="94" t="s">
        <v>197</v>
      </c>
      <c r="AJ93" s="95">
        <f>M93+P93+S93+V93+Y93+AB93</f>
        <v>0</v>
      </c>
      <c r="AK93" s="96" t="str">
        <f>IF(AND(AJ93="",AL93=""),"",":")</f>
        <v>:</v>
      </c>
      <c r="AL93" s="97">
        <f>O93+R93+U93+X93+AA93+AD93</f>
        <v>0</v>
      </c>
      <c r="AM93" s="98" t="str">
        <f t="shared" ref="AM93:AM99" si="86">COUNTIF($AH$93:$AH$99,"&gt;"&amp;AH93)+COUNTIFS($AH$93:$AH$99,AH93,$AN$93:$AN$99,"&gt;"&amp;AN93)+COUNTIFS($AH$93:$AH$99,AH93,$AN$93:$AN$99,AN93,$BD$93:$BD$99,"&gt;"&amp;BD93)+COUNTIFS($AH$93:$AH$99,AH93,$AN$93:$AN$99,AN93,$BD$93:$BD$99,BD93,$BO$93:$BO$99,"&lt;"&amp;BO93)+COUNTIFS($AH$93:$AH$99,AH93,$AN$93:$AN$99,AN93,$BD$93:$BD$99,BD93,$BO$93:$BO$99,BO93,$AP$93:$AP$99,"&lt;"&amp;AP93)+1 &amp;"."</f>
        <v>1.</v>
      </c>
      <c r="AN93" s="99" t="str">
        <f t="shared" ref="AN93:AN99" si="87">IF(AW93&gt;BH93,1,)+IF(AX93&gt;BI93,1)+IF(AY93&gt;BJ93,1)+IF(AZ93&gt;BK93,1)+IF(BA93&gt;BL93,1)+IF(BB93&gt;BM93,1)+IF(BC93&gt;BN93,1,)&amp;" b"</f>
        <v>0 b</v>
      </c>
      <c r="AO93" s="100" t="str">
        <f t="shared" ref="AO93:AO99" si="88">CONCATENATE("("&amp;(BD93),":",(BO93)&amp;")")</f>
        <v>(0:0)</v>
      </c>
      <c r="AP93" s="101" t="str">
        <f t="shared" ref="AP93:AP99" si="89">IF(AND(BS93=TRUE,BR93&lt;&gt;0),"?","")</f>
        <v/>
      </c>
      <c r="AQ93" s="102"/>
      <c r="AR93" s="103" t="str">
        <f t="shared" ref="AR93:AR99" si="90">RANK(AH93,$AH$93:$AH$99,0)&amp;"."</f>
        <v>1.</v>
      </c>
      <c r="AS93" s="102"/>
      <c r="AT93" s="104"/>
      <c r="AU93" s="104">
        <f t="shared" ref="AU93:AU99" si="91">IF(AW93&gt;BH93,1,)+IF(AX93&gt;BI93,1)+IF(AY93&gt;BJ93,1)+IF(AZ93&gt;BK93,1)+IF(BA93&gt;BL93,1)+IF(BB93&gt;BM93,1)+IF(BC93&gt;BN93,1,)</f>
        <v>0</v>
      </c>
      <c r="AV93" s="104">
        <f t="shared" ref="AV93:AV99" si="92">RANK(AH93,$AH$93:$AH$99,0)</f>
        <v>1</v>
      </c>
      <c r="AW93" s="105"/>
      <c r="AX93" s="106">
        <f>IF(AV93=AV94,M93,"")</f>
        <v>0</v>
      </c>
      <c r="AY93" s="105">
        <f>IF(AV93=AV95,P93,"")</f>
        <v>0</v>
      </c>
      <c r="AZ93" s="105">
        <f>IF(AV93=AV96,S93,"")</f>
        <v>0</v>
      </c>
      <c r="BA93" s="105">
        <f>IF(AV93=AV97,V93,"")</f>
        <v>0</v>
      </c>
      <c r="BB93" s="105">
        <f>IF(AV93=AV98,Y93,"")</f>
        <v>0</v>
      </c>
      <c r="BC93" s="105">
        <f>IF(AV93=AV99,AB93,"")</f>
        <v>0</v>
      </c>
      <c r="BD93" s="105">
        <f t="shared" ref="BD93:BD99" si="93">SUM(AW93:BC93)</f>
        <v>0</v>
      </c>
      <c r="BE93" s="105">
        <f t="shared" ref="BE93:BE99" si="94">IF(BD93=0,0,"1")</f>
        <v>0</v>
      </c>
      <c r="BF93" s="105"/>
      <c r="BG93" s="104">
        <f t="shared" ref="BG93:BG99" si="95">RANK(AH93,$AH$93:$AH$99,0)</f>
        <v>1</v>
      </c>
      <c r="BH93" s="105"/>
      <c r="BI93" s="105">
        <f>IF(AV93=AV94,O93,"")</f>
        <v>0</v>
      </c>
      <c r="BJ93" s="105">
        <f>IF(AV93=AV95,R93,"")</f>
        <v>0</v>
      </c>
      <c r="BK93" s="105">
        <f>IF(AV93=AV96,U93,"")</f>
        <v>0</v>
      </c>
      <c r="BL93" s="105">
        <f>IF(AV93=AV97,X93,"")</f>
        <v>0</v>
      </c>
      <c r="BM93" s="105">
        <f>IF(AV93=AV98,AA93,"")</f>
        <v>0</v>
      </c>
      <c r="BN93" s="105">
        <f>IF(AV93=AV99,AD93,"")</f>
        <v>0</v>
      </c>
      <c r="BO93" s="105">
        <f t="shared" ref="BO93:BO99" si="96">SUM(BH93:BN93)</f>
        <v>0</v>
      </c>
      <c r="BQ93" s="10" t="b">
        <f t="shared" ref="BQ93:BQ99" si="97">IF(COUNTIF($AH$93:$AH$99,1)=1,1,IF(COUNTIF($AH$93:$AH$99,2)=2,2,IF(COUNTIF($AH$93:$AH$99,3)=3,3,IF(COUNTIF($AH$93:$AH$99,4)=4,4,IF(COUNTIF($AH$93:$AH$99,5)=5,5)))))</f>
        <v>0</v>
      </c>
      <c r="BR93" s="10">
        <f>AH93*(BD93*100+AH93+BO93*3.14+AU93*22)*10</f>
        <v>0</v>
      </c>
      <c r="BS93" s="10" t="b">
        <f t="shared" ref="BS93:BS99" si="98">COUNTIF($BR$93:$BR$99,BR93)&gt;1</f>
        <v>1</v>
      </c>
      <c r="BT93" s="10">
        <f>COUNTIF($AH$93:$AH$99,1)</f>
        <v>0</v>
      </c>
      <c r="BU93" s="10">
        <f>COUNTIF($AH$93:$AH$99,2)</f>
        <v>0</v>
      </c>
      <c r="BV93" s="10">
        <f>COUNTIF($AH$93:$AH$99,3)</f>
        <v>0</v>
      </c>
      <c r="BW93" s="10">
        <f>COUNTIF($AH$93:$AH$99,4)</f>
        <v>0</v>
      </c>
      <c r="BX93" s="10">
        <f>COUNTIF($AH$93:$AH$99,5)</f>
        <v>0</v>
      </c>
      <c r="BY93" s="10"/>
      <c r="BZ93" s="10" t="str">
        <f t="shared" ref="BZ93:BZ99" si="99">IF(AND(BS93=TRUE,BR93&lt;&gt;0),"1","")</f>
        <v/>
      </c>
      <c r="CA93" s="107"/>
      <c r="CB93" s="104">
        <f t="shared" ref="CB93:CB99" si="100">RANK(AH93,$AH$93:$AH$99,0)</f>
        <v>1</v>
      </c>
      <c r="CC93" s="105"/>
      <c r="CD93" s="106">
        <f>IF(CB93=CB94,1,"")</f>
        <v>1</v>
      </c>
      <c r="CE93" s="106">
        <f>IF(CB93=CB95,1,"")</f>
        <v>1</v>
      </c>
      <c r="CF93" s="106">
        <f>IF(CB93=CB96,1,"")</f>
        <v>1</v>
      </c>
      <c r="CG93" s="106">
        <f>IF(CB93=CB97,1,"")</f>
        <v>1</v>
      </c>
      <c r="CH93" s="106">
        <f>IF(CB93=CB98,1,"")</f>
        <v>1</v>
      </c>
      <c r="CI93" s="106">
        <f>IF(CB93=CB99,1,"")</f>
        <v>1</v>
      </c>
      <c r="CJ93" s="105">
        <f t="shared" ref="CJ93:CJ99" si="101">SUM(CC93:CI93)</f>
        <v>6</v>
      </c>
      <c r="CK93" s="107"/>
      <c r="CX93" s="11" t="s">
        <v>213</v>
      </c>
      <c r="CY93" s="109" t="str">
        <f>AM93</f>
        <v>1.</v>
      </c>
      <c r="CZ93" s="110" t="str">
        <f>H93</f>
        <v/>
      </c>
      <c r="DA93" s="110"/>
      <c r="DB93" s="44" t="str">
        <f>IF(DE93&gt;0,VLOOKUP(DC93,$CY$93:$CZ$99,2,0),"")</f>
        <v/>
      </c>
      <c r="DC93" s="27" t="s">
        <v>199</v>
      </c>
      <c r="DE93" s="44">
        <f>IF(CZ93="",0,4)</f>
        <v>0</v>
      </c>
    </row>
    <row r="94" spans="2:113" ht="30" customHeight="1" x14ac:dyDescent="0.55000000000000004">
      <c r="D94" s="85" t="str">
        <f>IF(B93=4,$DB$7,IF(B93=5,$DC$7,IF(B93=6,$DD$7,IF(B93=7,$DE$7,""))))</f>
        <v/>
      </c>
      <c r="E94" s="85" t="str">
        <f>IF(B93=4,$DB$8,IF(B93=5,$DC$8,IF(B93=6,$DD$8,IF(B93=7,$DE$8,""))))</f>
        <v/>
      </c>
      <c r="F94" s="85" t="str">
        <f>IF(B93=4,$DB$9,IF(B93=5,$DC$9,IF(B93=6,$DD$9,IF(B93=7,$DE$9,""))))</f>
        <v/>
      </c>
      <c r="G94" s="86" t="s">
        <v>29</v>
      </c>
      <c r="H94" s="358" t="str">
        <f>IF(AND(I36&lt;&gt;8,I38=4,CV46&gt;0,I48="ANO"),CS12,IF(AND(I36=8,I38=4,CV46&gt;0,I48="ANO"),CS9,IF(AND(I36&lt;&gt;8,I38=6,CV46&gt;0,I48="ANO"),CS14,IF(AND(I36=8,I38=6,CV46&gt;0,I48="ANO"),CS15,IF(AND(I36&lt;&gt;16,I38=8,CV46&gt;0,I48="ANO"),CS16,IF(AND(I36=16,I38=8,CV46&gt;0,I48="ANO"),CS17,""))))))</f>
        <v/>
      </c>
      <c r="I94" s="358"/>
      <c r="J94" s="111" t="str">
        <f>IF(O93="","",O93)</f>
        <v/>
      </c>
      <c r="K94" s="91" t="str">
        <f t="shared" ref="K94:K99" si="102">IF(AND(J94="",L94=""),"",":")</f>
        <v/>
      </c>
      <c r="L94" s="112" t="str">
        <f>IF(M93="","",M93)</f>
        <v/>
      </c>
      <c r="M94" s="87"/>
      <c r="N94" s="88"/>
      <c r="O94" s="89"/>
      <c r="P94" s="90"/>
      <c r="Q94" s="91" t="str">
        <f t="shared" si="84"/>
        <v/>
      </c>
      <c r="R94" s="92"/>
      <c r="S94" s="90"/>
      <c r="T94" s="91" t="str">
        <f>IF(AND(S94="",U94=""),"",":")</f>
        <v/>
      </c>
      <c r="U94" s="92"/>
      <c r="V94" s="90"/>
      <c r="W94" s="91" t="str">
        <f>IF(AND(V94="",X94=""),"",":")</f>
        <v/>
      </c>
      <c r="X94" s="92"/>
      <c r="Y94" s="90"/>
      <c r="Z94" s="91" t="str">
        <f>IF(AND(Y94="",AA94=""),"",":")</f>
        <v/>
      </c>
      <c r="AA94" s="92"/>
      <c r="AB94" s="90"/>
      <c r="AC94" s="91" t="str">
        <f t="shared" si="85"/>
        <v/>
      </c>
      <c r="AD94" s="92"/>
      <c r="AE94" s="359" t="s">
        <v>284</v>
      </c>
      <c r="AF94" s="354"/>
      <c r="AG94" s="355"/>
      <c r="AH94" s="93">
        <f>IF(M93&lt;O93,1)+IF(P94&gt;R94,1)+IF(S94&gt;U94,1)+IF(V94&gt;X94,1)+IF(Y94&gt;AA94,1)+IF(AB94&gt;AD94,1)</f>
        <v>0</v>
      </c>
      <c r="AI94" s="94" t="s">
        <v>197</v>
      </c>
      <c r="AJ94" s="95">
        <f>O93+P94+S94+V94+Y94+AB94</f>
        <v>0</v>
      </c>
      <c r="AK94" s="96" t="str">
        <f t="shared" ref="AK94:AK99" si="103">IF(AND(AJ94="",AL94=""),"",":")</f>
        <v>:</v>
      </c>
      <c r="AL94" s="97">
        <f>M93+R94+U94+X94+AA94+AD94</f>
        <v>0</v>
      </c>
      <c r="AM94" s="98" t="str">
        <f t="shared" si="86"/>
        <v>1.</v>
      </c>
      <c r="AN94" s="99" t="str">
        <f t="shared" si="87"/>
        <v>0 b</v>
      </c>
      <c r="AO94" s="100" t="str">
        <f t="shared" si="88"/>
        <v>(0:0)</v>
      </c>
      <c r="AP94" s="101" t="str">
        <f t="shared" si="89"/>
        <v/>
      </c>
      <c r="AQ94" s="102"/>
      <c r="AR94" s="103" t="str">
        <f t="shared" si="90"/>
        <v>1.</v>
      </c>
      <c r="AS94" s="102"/>
      <c r="AT94" s="104"/>
      <c r="AU94" s="104">
        <f t="shared" si="91"/>
        <v>0</v>
      </c>
      <c r="AV94" s="104">
        <f t="shared" si="92"/>
        <v>1</v>
      </c>
      <c r="AW94" s="106">
        <f>IF(AV93=AV94,O93,"")</f>
        <v>0</v>
      </c>
      <c r="AX94" s="105"/>
      <c r="AY94" s="105">
        <f>IF(AV94=AV95,P94,"")</f>
        <v>0</v>
      </c>
      <c r="AZ94" s="105">
        <f>IF(AV94=AV96,S94,"")</f>
        <v>0</v>
      </c>
      <c r="BA94" s="105">
        <f>IF(AV94=AV97,V94,"")</f>
        <v>0</v>
      </c>
      <c r="BB94" s="105">
        <f>IF(AV94=AV98,Y94,"")</f>
        <v>0</v>
      </c>
      <c r="BC94" s="105">
        <f>IF(AV94=AV99,AB94,"")</f>
        <v>0</v>
      </c>
      <c r="BD94" s="105">
        <f t="shared" si="93"/>
        <v>0</v>
      </c>
      <c r="BE94" s="105">
        <f t="shared" si="94"/>
        <v>0</v>
      </c>
      <c r="BF94" s="105"/>
      <c r="BG94" s="104">
        <f t="shared" si="95"/>
        <v>1</v>
      </c>
      <c r="BH94" s="105">
        <f>IF(AV93=AV94,M93,"")</f>
        <v>0</v>
      </c>
      <c r="BI94" s="105"/>
      <c r="BJ94" s="105">
        <f>IF(AV94=AV95,R94,"")</f>
        <v>0</v>
      </c>
      <c r="BK94" s="105">
        <f>IF(AV94=AV96,U94,"")</f>
        <v>0</v>
      </c>
      <c r="BL94" s="105">
        <f>IF(AV94=AV97,X94,"")</f>
        <v>0</v>
      </c>
      <c r="BM94" s="105">
        <f>IF(AV94=AV98,AA94,"")</f>
        <v>0</v>
      </c>
      <c r="BN94" s="105">
        <f>IF(AV94=AV99,AD94,"")</f>
        <v>0</v>
      </c>
      <c r="BO94" s="105">
        <f t="shared" si="96"/>
        <v>0</v>
      </c>
      <c r="BQ94" s="10" t="b">
        <f t="shared" si="97"/>
        <v>0</v>
      </c>
      <c r="BR94" s="10">
        <f t="shared" ref="BR94:BR99" si="104">AH94*(BD94*100+AH94+BO94*3.14+AU94*22)*10</f>
        <v>0</v>
      </c>
      <c r="BS94" s="10" t="b">
        <f t="shared" si="98"/>
        <v>1</v>
      </c>
      <c r="BT94" s="10">
        <f>IF(BT93&gt;=2,1,0)</f>
        <v>0</v>
      </c>
      <c r="BU94" s="10">
        <f>IF(BU93&gt;=2,1,0)</f>
        <v>0</v>
      </c>
      <c r="BV94" s="10">
        <f>IF(BV93&gt;=2,1,0)</f>
        <v>0</v>
      </c>
      <c r="BW94" s="10">
        <f>IF(BW93&gt;=2,1,0)</f>
        <v>0</v>
      </c>
      <c r="BX94" s="10">
        <f>IF(BX93&gt;=2,1,0)</f>
        <v>0</v>
      </c>
      <c r="BY94" s="10"/>
      <c r="BZ94" s="10" t="str">
        <f t="shared" si="99"/>
        <v/>
      </c>
      <c r="CA94" s="107"/>
      <c r="CB94" s="104">
        <f t="shared" si="100"/>
        <v>1</v>
      </c>
      <c r="CC94" s="106"/>
      <c r="CD94" s="105"/>
      <c r="CE94" s="106">
        <f>IF(CB94=CB95,1,"")</f>
        <v>1</v>
      </c>
      <c r="CF94" s="106">
        <f>IF(CB94=CB96,1,"")</f>
        <v>1</v>
      </c>
      <c r="CG94" s="106">
        <f>IF(CB94=CB97,1,"")</f>
        <v>1</v>
      </c>
      <c r="CH94" s="106">
        <f>IF(CB94=CB98,1,"")</f>
        <v>1</v>
      </c>
      <c r="CI94" s="106">
        <f>IF(CB94=CB99,1,"")</f>
        <v>1</v>
      </c>
      <c r="CJ94" s="105">
        <f t="shared" si="101"/>
        <v>5</v>
      </c>
      <c r="CK94" s="107"/>
      <c r="CY94" s="109" t="str">
        <f t="shared" ref="CY94:CY99" si="105">AM94</f>
        <v>1.</v>
      </c>
      <c r="CZ94" s="110" t="str">
        <f t="shared" ref="CZ94:CZ99" si="106">H94</f>
        <v/>
      </c>
      <c r="DA94" s="110"/>
      <c r="DB94" s="44" t="str">
        <f t="shared" ref="DB94:DB99" si="107">IF(DE94&gt;0,VLOOKUP(DC94,$CY$93:$CZ$99,2,0),"")</f>
        <v/>
      </c>
      <c r="DC94" s="27" t="s">
        <v>202</v>
      </c>
      <c r="DE94" s="44">
        <f t="shared" ref="DE94:DE99" si="108">IF(CZ94="",0,4)</f>
        <v>0</v>
      </c>
    </row>
    <row r="95" spans="2:113" ht="30" customHeight="1" x14ac:dyDescent="0.55000000000000004">
      <c r="D95" s="85" t="str">
        <f>IF(B93=5,$DC$10,IF(B93=6,$DD$10,IF(B93=7,$DE$10,"")))</f>
        <v/>
      </c>
      <c r="E95" s="85" t="str">
        <f>IF(B93=5,$DC$11,IF(B93=6,$DD$11,IF(B93=7,$DE$11,"")))</f>
        <v/>
      </c>
      <c r="F95" s="85" t="str">
        <f>IF(B93=5,$DC$12,IF(B93=6,$DD$12,IF(B93=7,$DE$12,"")))</f>
        <v/>
      </c>
      <c r="G95" s="86" t="s">
        <v>36</v>
      </c>
      <c r="H95" s="358" t="str">
        <f>IF(AND(I38=4,CV46&gt;0,I48="ANO"),CS16,IF(AND(I38=6,CV46&gt;0,I48="ANO"),CS20,IF(AND(I38=8,CV46&gt;0,I48="ANO"),CS24,"")))</f>
        <v/>
      </c>
      <c r="I95" s="358"/>
      <c r="J95" s="111" t="str">
        <f>IF(R93="","",R93)</f>
        <v/>
      </c>
      <c r="K95" s="91" t="str">
        <f t="shared" si="102"/>
        <v/>
      </c>
      <c r="L95" s="112" t="str">
        <f>IF(P93="","",P93)</f>
        <v/>
      </c>
      <c r="M95" s="111" t="str">
        <f>IF(R94="","",R94)</f>
        <v/>
      </c>
      <c r="N95" s="91" t="str">
        <f>IF(AND(M95="",O95=""),"",":")</f>
        <v/>
      </c>
      <c r="O95" s="112" t="str">
        <f>IF(P94="","",P94)</f>
        <v/>
      </c>
      <c r="P95" s="87"/>
      <c r="Q95" s="88"/>
      <c r="R95" s="89"/>
      <c r="S95" s="90"/>
      <c r="T95" s="91" t="str">
        <f>IF(AND(S95="",U95=""),"",":")</f>
        <v/>
      </c>
      <c r="U95" s="92"/>
      <c r="V95" s="90"/>
      <c r="W95" s="91" t="str">
        <f>IF(AND(V95="",X95=""),"",":")</f>
        <v/>
      </c>
      <c r="X95" s="92"/>
      <c r="Y95" s="90"/>
      <c r="Z95" s="91" t="str">
        <f>IF(AND(Y95="",AA95=""),"",":")</f>
        <v/>
      </c>
      <c r="AA95" s="92"/>
      <c r="AB95" s="90"/>
      <c r="AC95" s="91" t="str">
        <f t="shared" si="85"/>
        <v/>
      </c>
      <c r="AD95" s="92"/>
      <c r="AE95" s="359" t="s">
        <v>285</v>
      </c>
      <c r="AF95" s="354"/>
      <c r="AG95" s="355"/>
      <c r="AH95" s="93">
        <f>IF(R93&gt;P93,1)+IF(R94&gt;P94,1)+IF(S95&gt;U95,1)+IF(V95&gt;X95,1)+IF(Y95&gt;AA95,1)+IF(AB95&gt;AD95,1)</f>
        <v>0</v>
      </c>
      <c r="AI95" s="94" t="s">
        <v>197</v>
      </c>
      <c r="AJ95" s="95">
        <f>R93+R94+S95+V95+Y95+AB95</f>
        <v>0</v>
      </c>
      <c r="AK95" s="96" t="str">
        <f t="shared" si="103"/>
        <v>:</v>
      </c>
      <c r="AL95" s="97">
        <f>P93+P94+U95+X95+AA95+AD95</f>
        <v>0</v>
      </c>
      <c r="AM95" s="98" t="str">
        <f t="shared" si="86"/>
        <v>1.</v>
      </c>
      <c r="AN95" s="99" t="str">
        <f t="shared" si="87"/>
        <v>0 b</v>
      </c>
      <c r="AO95" s="100" t="str">
        <f t="shared" si="88"/>
        <v>(0:0)</v>
      </c>
      <c r="AP95" s="101" t="str">
        <f t="shared" si="89"/>
        <v/>
      </c>
      <c r="AQ95" s="102"/>
      <c r="AR95" s="103" t="str">
        <f t="shared" si="90"/>
        <v>1.</v>
      </c>
      <c r="AS95" s="102"/>
      <c r="AT95" s="104"/>
      <c r="AU95" s="104">
        <f t="shared" si="91"/>
        <v>0</v>
      </c>
      <c r="AV95" s="104">
        <f t="shared" si="92"/>
        <v>1</v>
      </c>
      <c r="AW95" s="106">
        <f>IF(AV93=AV95,R93,"")</f>
        <v>0</v>
      </c>
      <c r="AX95" s="105">
        <f>IF(AV94=AV95,R94,"")</f>
        <v>0</v>
      </c>
      <c r="AY95" s="105"/>
      <c r="AZ95" s="105">
        <f>IF(AV95=AV96,S95,"")</f>
        <v>0</v>
      </c>
      <c r="BA95" s="105">
        <f>IF(AV95=AV97,V95,"")</f>
        <v>0</v>
      </c>
      <c r="BB95" s="105">
        <f>IF(AV95=AV98,Y95,"")</f>
        <v>0</v>
      </c>
      <c r="BC95" s="105">
        <f>IF(AV95=AV99,AB95,"")</f>
        <v>0</v>
      </c>
      <c r="BD95" s="105">
        <f t="shared" si="93"/>
        <v>0</v>
      </c>
      <c r="BE95" s="105">
        <f t="shared" si="94"/>
        <v>0</v>
      </c>
      <c r="BF95" s="105"/>
      <c r="BG95" s="104">
        <f t="shared" si="95"/>
        <v>1</v>
      </c>
      <c r="BH95" s="105">
        <f>IF(AV93=AV95,P93,"")</f>
        <v>0</v>
      </c>
      <c r="BI95" s="105">
        <f>IF(AV94=AV95,P94,"")</f>
        <v>0</v>
      </c>
      <c r="BJ95" s="105"/>
      <c r="BK95" s="105">
        <f>IF(AV95=AV96,U95,"")</f>
        <v>0</v>
      </c>
      <c r="BL95" s="105">
        <f>IF(AV95=AV97,X95,"")</f>
        <v>0</v>
      </c>
      <c r="BM95" s="105">
        <f>IF(AV95=AV98,AA95,"")</f>
        <v>0</v>
      </c>
      <c r="BN95" s="105">
        <f>IF(AV95=AV99,AD95,"")</f>
        <v>0</v>
      </c>
      <c r="BO95" s="105">
        <f t="shared" si="96"/>
        <v>0</v>
      </c>
      <c r="BQ95" s="10" t="b">
        <f t="shared" si="97"/>
        <v>0</v>
      </c>
      <c r="BR95" s="10">
        <f t="shared" si="104"/>
        <v>0</v>
      </c>
      <c r="BS95" s="10" t="b">
        <f t="shared" si="98"/>
        <v>1</v>
      </c>
      <c r="BT95" s="10">
        <v>1</v>
      </c>
      <c r="BU95" s="10">
        <v>2</v>
      </c>
      <c r="BV95" s="10">
        <v>3</v>
      </c>
      <c r="BW95" s="10">
        <v>4</v>
      </c>
      <c r="BX95" s="10">
        <v>5</v>
      </c>
      <c r="BY95" s="10"/>
      <c r="BZ95" s="10" t="str">
        <f t="shared" si="99"/>
        <v/>
      </c>
      <c r="CA95" s="107"/>
      <c r="CB95" s="104">
        <f t="shared" si="100"/>
        <v>1</v>
      </c>
      <c r="CC95" s="106"/>
      <c r="CD95" s="105"/>
      <c r="CE95" s="105"/>
      <c r="CF95" s="106">
        <f>IF(CB95=CB96,1,"")</f>
        <v>1</v>
      </c>
      <c r="CG95" s="106">
        <f>IF(CB95=CB97,1,"")</f>
        <v>1</v>
      </c>
      <c r="CH95" s="106">
        <f>IF(CB95=CB98,1,"")</f>
        <v>1</v>
      </c>
      <c r="CI95" s="106">
        <f>IF(CB95=CB99,1,"")</f>
        <v>1</v>
      </c>
      <c r="CJ95" s="105">
        <f t="shared" si="101"/>
        <v>4</v>
      </c>
      <c r="CK95" s="107"/>
      <c r="CY95" s="109" t="str">
        <f t="shared" si="105"/>
        <v>1.</v>
      </c>
      <c r="CZ95" s="110" t="str">
        <f t="shared" si="106"/>
        <v/>
      </c>
      <c r="DA95" s="110"/>
      <c r="DB95" s="44" t="str">
        <f t="shared" si="107"/>
        <v/>
      </c>
      <c r="DC95" s="27" t="s">
        <v>203</v>
      </c>
      <c r="DE95" s="44">
        <f t="shared" si="108"/>
        <v>0</v>
      </c>
    </row>
    <row r="96" spans="2:113" ht="30" customHeight="1" x14ac:dyDescent="0.55000000000000004">
      <c r="D96" s="85" t="str">
        <f>IF(B93=5,$DC$13,IF(B93=6,$DD$13,IF(B93=7,$DE$13,"")))</f>
        <v/>
      </c>
      <c r="E96" s="85" t="str">
        <f>IF(B93=6,$DD$14,IF(B93=7,$DE$14,""))</f>
        <v/>
      </c>
      <c r="F96" s="85" t="str">
        <f>IF(B93=6,$DD$15,IF(B93=7,$DE$15,""))</f>
        <v/>
      </c>
      <c r="G96" s="86" t="s">
        <v>4</v>
      </c>
      <c r="H96" s="358" t="str">
        <f>IF(AND(I38=4,CV40&lt;4,CV42&lt;4,CV44&lt;4,CV46&gt;3,I48="ANO"),CS17,IF(AND(I38=4,CV40&gt;3,CV42&lt;4,CV44&lt;4,CV46&gt;3,I48="ANO"),CS18,IF(AND(I38=4,CV40&lt;4,CV42&gt;3,CV44&lt;4,CV46&gt;3,I48="ANO"),CS18,IF(AND(I38=4,CV40&lt;4,CV42&lt;4,CV44&gt;3,CV46&gt;3,I48="ANO"),CS18,IF(AND(I38=4,CV40&gt;3,CV42&gt;3,CV44&lt;4,CV46&gt;3,I48="ANO"),CS19,IF(AND(I38=4,CV40&gt;3,CV42&lt;4,CV44&gt;3,CV46&gt;3,I48="ANO"),CS19,IF(AND(I38=4,CV40&lt;4,CV42&gt;3,CV44&gt;3,CV46&gt;3,I48="ANO"),CS19,IF(AND(I38=4,CV40&gt;3,CV42&gt;3,CV44&gt;3,CV46&gt;3,I48="ANO"),CS20,IF(AND(I38=6,CV40&lt;4,CV42&lt;4,CV44&lt;4,CV46&gt;3,I48="ANO"),CS23,IF(AND(I38=6,CV40&gt;3,CV42&lt;4,CV44&lt;4,CV46&gt;3,I48="ANO"),CS24,IF(AND(I38=6,CV40&lt;4,CV42&gt;3,CV44&lt;4,CV46&gt;3,I48="ANO"),CS24,IF(AND(I38=6,CV40&lt;4,CV42&lt;4,CV44&gt;3,CV46&gt;3,I48="ANO"),CS24,IF(AND(I38=6,CV40&gt;3,CV42&gt;3,CV44&lt;4,CV46&gt;3,I48="ANO"),CS25,IF(AND(I38=6,CV40&gt;3,CV42&lt;4,CV44&gt;3,CV46&gt;3,I48="ANO"),CS25,IF(AND(I38=6,CV40&lt;4,CV42&gt;3,CV44&gt;3,CV46&gt;3,I48="ANO"),CS25,IF(AND(I38=6,CV40&gt;3,CV42&gt;3,CV44&gt;3,CV46&gt;3,I48="ANO"),CS26,IF(AND(I38=8,CV40&lt;4,CV42&lt;4,CV44&lt;4,CV46&gt;3,I48="ANO"),CS29,IF(AND(I38=8,CV40&gt;3,CV42&lt;4,CV44&lt;4,CV46&gt;3,I48="ANO"),CS30,IF(AND(I38=8,CV40&lt;4,CV42&gt;3,CV44&lt;4,CV46&gt;3,I48="ANO"),CS30,IF(AND(I38=8,CV40&lt;4,CV42&lt;4,CV44&gt;3,CV46&gt;3,I48="ANO"),CS30,IF(AND(I38=8,CV40&gt;3,CV42&gt;3,CV44&lt;4,CV46&gt;3,I48="ANO"),CS31,IF(AND(I38=8,CV40&gt;3,CV42&lt;4,CV44&gt;3,CV46&gt;3,I48="ANO"),CS31,IF(AND(I38=8,CV40&lt;4,CV42&gt;3,CV44&gt;3,CV46&gt;3,I48="ANO"),CS31,IF(AND(I38=8,CV40&gt;3,CV42&gt;3,CV44&gt;3,CV46&gt;3,I48="ANO"),CS32,""))))))))))))))))))))))))</f>
        <v/>
      </c>
      <c r="I96" s="358"/>
      <c r="J96" s="111" t="str">
        <f>IF(U93="","",U93)</f>
        <v/>
      </c>
      <c r="K96" s="91" t="str">
        <f t="shared" si="102"/>
        <v/>
      </c>
      <c r="L96" s="112" t="str">
        <f>IF(S93="","",S93)</f>
        <v/>
      </c>
      <c r="M96" s="111" t="str">
        <f>IF(U94="","",U94)</f>
        <v/>
      </c>
      <c r="N96" s="91" t="str">
        <f>IF(AND(M96="",O96=""),"",":")</f>
        <v/>
      </c>
      <c r="O96" s="112" t="str">
        <f>IF(S94="","",S94)</f>
        <v/>
      </c>
      <c r="P96" s="111" t="str">
        <f>IF(U95="","",U95)</f>
        <v/>
      </c>
      <c r="Q96" s="91" t="str">
        <f t="shared" si="84"/>
        <v/>
      </c>
      <c r="R96" s="112" t="str">
        <f>IF(S95="","",S95)</f>
        <v/>
      </c>
      <c r="S96" s="87"/>
      <c r="T96" s="88"/>
      <c r="U96" s="89"/>
      <c r="V96" s="90"/>
      <c r="W96" s="91" t="str">
        <f>IF(AND(V96="",X96=""),"",":")</f>
        <v/>
      </c>
      <c r="X96" s="92"/>
      <c r="Y96" s="90"/>
      <c r="Z96" s="91" t="str">
        <f>IF(AND(Y96="",AA96=""),"",":")</f>
        <v/>
      </c>
      <c r="AA96" s="92"/>
      <c r="AB96" s="90"/>
      <c r="AC96" s="91" t="str">
        <f t="shared" si="85"/>
        <v/>
      </c>
      <c r="AD96" s="92"/>
      <c r="AE96" s="353" t="s">
        <v>281</v>
      </c>
      <c r="AF96" s="354"/>
      <c r="AG96" s="355"/>
      <c r="AH96" s="93">
        <f>IF(U93&gt;S93,1)+IF(U94&gt;S94,1)+IF(U95&gt;S95,1)+IF(V96&gt;X96,1)+IF(Y96&gt;AA96,1)+IF(AB96&gt;AD96,1)</f>
        <v>0</v>
      </c>
      <c r="AI96" s="94" t="s">
        <v>197</v>
      </c>
      <c r="AJ96" s="95">
        <f>U93+U94+U95+V96+Y96+AB96</f>
        <v>0</v>
      </c>
      <c r="AK96" s="96" t="str">
        <f t="shared" si="103"/>
        <v>:</v>
      </c>
      <c r="AL96" s="97">
        <f>S93+S94+S95+X96+AA96+AD96</f>
        <v>0</v>
      </c>
      <c r="AM96" s="98" t="str">
        <f t="shared" si="86"/>
        <v>1.</v>
      </c>
      <c r="AN96" s="99" t="str">
        <f t="shared" si="87"/>
        <v>0 b</v>
      </c>
      <c r="AO96" s="100" t="str">
        <f t="shared" si="88"/>
        <v>(0:0)</v>
      </c>
      <c r="AP96" s="101" t="str">
        <f t="shared" si="89"/>
        <v/>
      </c>
      <c r="AQ96" s="102"/>
      <c r="AR96" s="103" t="str">
        <f t="shared" si="90"/>
        <v>1.</v>
      </c>
      <c r="AS96" s="102"/>
      <c r="AT96" s="104"/>
      <c r="AU96" s="104">
        <f t="shared" si="91"/>
        <v>0</v>
      </c>
      <c r="AV96" s="104">
        <f t="shared" si="92"/>
        <v>1</v>
      </c>
      <c r="AW96" s="106">
        <f>IF(AV93=AV96,U93,"")</f>
        <v>0</v>
      </c>
      <c r="AX96" s="105">
        <f>IF(AV94=AV96,U94,"")</f>
        <v>0</v>
      </c>
      <c r="AY96" s="105">
        <f>IF(AV95=AV96,U95,"")</f>
        <v>0</v>
      </c>
      <c r="AZ96" s="105"/>
      <c r="BA96" s="105">
        <f>IF(AV96=AV97,V96,"")</f>
        <v>0</v>
      </c>
      <c r="BB96" s="105">
        <f>IF(AV96=AV98,Y96,"")</f>
        <v>0</v>
      </c>
      <c r="BC96" s="105">
        <f>IF(AV96=AV99,AB96,"")</f>
        <v>0</v>
      </c>
      <c r="BD96" s="105">
        <f t="shared" si="93"/>
        <v>0</v>
      </c>
      <c r="BE96" s="105">
        <f t="shared" si="94"/>
        <v>0</v>
      </c>
      <c r="BF96" s="105"/>
      <c r="BG96" s="104">
        <f t="shared" si="95"/>
        <v>1</v>
      </c>
      <c r="BH96" s="105">
        <f>IF(AV93=AV96,S93,"")</f>
        <v>0</v>
      </c>
      <c r="BI96" s="105">
        <f>IF(AV94=AV96,S94,"")</f>
        <v>0</v>
      </c>
      <c r="BJ96" s="105">
        <f>IF(AV95=AV96,S95,"")</f>
        <v>0</v>
      </c>
      <c r="BK96" s="105"/>
      <c r="BL96" s="105">
        <f>IF(AV96=AV97,X96,"")</f>
        <v>0</v>
      </c>
      <c r="BM96" s="105">
        <f>IF(AV96=AV98,AA96,"")</f>
        <v>0</v>
      </c>
      <c r="BN96" s="105">
        <f>IF(AV96=AV99,AD96,"")</f>
        <v>0</v>
      </c>
      <c r="BO96" s="105">
        <f t="shared" si="96"/>
        <v>0</v>
      </c>
      <c r="BQ96" s="10" t="b">
        <f t="shared" si="97"/>
        <v>0</v>
      </c>
      <c r="BR96" s="10">
        <f t="shared" si="104"/>
        <v>0</v>
      </c>
      <c r="BS96" s="10" t="b">
        <f t="shared" si="98"/>
        <v>1</v>
      </c>
      <c r="BT96" s="10">
        <f>BT94*BT95</f>
        <v>0</v>
      </c>
      <c r="BU96" s="10">
        <f>BU94*BU95</f>
        <v>0</v>
      </c>
      <c r="BV96" s="10">
        <f>BV94*BV95</f>
        <v>0</v>
      </c>
      <c r="BW96" s="10">
        <f>BW94*BW95</f>
        <v>0</v>
      </c>
      <c r="BX96" s="10">
        <f>BX94*BX95</f>
        <v>0</v>
      </c>
      <c r="BY96" s="10"/>
      <c r="BZ96" s="10" t="str">
        <f t="shared" si="99"/>
        <v/>
      </c>
      <c r="CA96" s="107"/>
      <c r="CB96" s="104">
        <f t="shared" si="100"/>
        <v>1</v>
      </c>
      <c r="CC96" s="106"/>
      <c r="CD96" s="105"/>
      <c r="CE96" s="105"/>
      <c r="CF96" s="105"/>
      <c r="CG96" s="106">
        <f>IF(CB96=CB97,1,"")</f>
        <v>1</v>
      </c>
      <c r="CH96" s="106">
        <f>IF(CB96=CB98,1,"")</f>
        <v>1</v>
      </c>
      <c r="CI96" s="106">
        <f>IF(CB96=CB99,1,"")</f>
        <v>1</v>
      </c>
      <c r="CJ96" s="105">
        <f t="shared" si="101"/>
        <v>3</v>
      </c>
      <c r="CK96" s="107"/>
      <c r="CY96" s="109" t="str">
        <f t="shared" si="105"/>
        <v>1.</v>
      </c>
      <c r="CZ96" s="110" t="str">
        <f t="shared" si="106"/>
        <v/>
      </c>
      <c r="DA96" s="110"/>
      <c r="DB96" s="44" t="str">
        <f t="shared" si="107"/>
        <v/>
      </c>
      <c r="DC96" s="27" t="s">
        <v>204</v>
      </c>
      <c r="DE96" s="44">
        <f t="shared" si="108"/>
        <v>0</v>
      </c>
      <c r="DF96" s="44">
        <f>IF($CZ$96="",0,4)</f>
        <v>0</v>
      </c>
      <c r="DG96" s="44">
        <f>IF($CZ$96="",0,4)</f>
        <v>0</v>
      </c>
      <c r="DH96" s="44">
        <f>IF($CZ$96="",0,4)</f>
        <v>0</v>
      </c>
      <c r="DI96" s="44">
        <f>IF($CZ$96="",0,4)</f>
        <v>0</v>
      </c>
    </row>
    <row r="97" spans="2:113" ht="30" customHeight="1" x14ac:dyDescent="0.55000000000000004">
      <c r="D97" s="85" t="str">
        <f>IF(B93=6,$DD$16,IF(B93=7,$DE$16,""))</f>
        <v/>
      </c>
      <c r="E97" s="85" t="str">
        <f>IF(B93=6,$DD$17,IF(B93=7,$DE$17,""))</f>
        <v/>
      </c>
      <c r="F97" s="85" t="str">
        <f>IF(B93=6,$DD$18,IF(B93=7,$DE$18,""))</f>
        <v/>
      </c>
      <c r="G97" s="86" t="s">
        <v>5</v>
      </c>
      <c r="H97" s="358" t="str">
        <f>IF(AND(I38=4,CV40&lt;5,CV42&lt;5,CV44&lt;5,CV46&gt;4,I48="ANO"),CS21,IF(AND(I38=4,CV40&gt;4,CV42&lt;5,CV44&lt;5,CV46&gt;4,I48="ANO"),CS22,IF(AND(I38=4,CV40&lt;5,CV42&gt;4,CV44&lt;5,CV46&gt;4,I48="ANO"),CS22,IF(AND(I38=4,CV40&lt;5,CV42&lt;5,CV44&gt;4,CV46&gt;4,I48="ANO"),CS22,IF(AND(I38=4,CV40&gt;4,CV42&gt;4,CV44&lt;5,CV46&gt;4,I48="ANO"),CS23,IF(AND(I38=4,CV40&gt;4,CV42&lt;5,CV44&gt;4,CV46&gt;4,I48="ANO"),CS23,IF(AND(I38=4,CV40&lt;5,CV42&gt;4,CV44&gt;4,CV46&gt;4,I48="ANO"),CS23,IF(AND(I38=4,CV40&gt;4,CV42&gt;4,CV44&gt;4,CV46&gt;4,I48="ANO"),CS24,IF(AND(I38=6,CV40&lt;5,CV42&lt;5,CV44&lt;5,CV46&gt;4,I48="ANO"),CS29,IF(AND(I38=6,CV40&gt;4,CV42&lt;5,CV44&lt;5,CV46&gt;4,I48="ANO"),CS30,IF(AND(I38=6,CV40&lt;5,CV42&gt;4,CV44&lt;5,CV46&gt;4,I48="ANO"),CS30,IF(AND(I38=6,CV40&lt;5,CV42&lt;5,CV44&gt;4,CV46&gt;4,I48="ANO"),CS30,IF(AND(I38=6,CV40&gt;4,CV42&gt;4,CV44&lt;5,CV46&gt;4,I48="ANO"),CS31,IF(AND(I38=6,CV40&gt;4,CV42&lt;5,CV44&gt;4,CV46&gt;4,I48="ANO"),CS31,IF(AND(I38=6,CV40&lt;5,CV42&gt;4,CV44&gt;4,CV46&gt;4,I48="ANO"),CS31,IF(AND(I38=6,CV40&gt;4,CV42&gt;4,CV44&gt;4,CV46&gt;4,I48="ANO"),CS32,IF(AND(I38=8,CV40&lt;5,CV42&lt;5,CV44&lt;5,CV46&gt;4,I48="ANO"),CS37,IF(AND(I38=8,CV40&gt;4,CV42&lt;5,CV44&lt;5,CV46&gt;4,I48="ANO"),CS38,IF(AND(I38=8,CV40&lt;5,CV42&gt;4,CV44&lt;5,CV46&gt;4,I48="ANO"),CS38,IF(AND(I38=8,CV40&lt;5,CV42&lt;5,CV44&gt;4,CV46&gt;4,I48="ANO"),CS38,IF(AND(I38=8,CV40&gt;4,CV42&gt;4,CV44&lt;5,CV46&gt;4,I48="ANO"),CS39,IF(AND(I38=8,CV40&gt;4,CV42&lt;5,CV44&gt;4,CV46&gt;4,I48="ANO"),CS39,IF(AND(I38=8,CV40&lt;5,CV42&gt;4,CV44&gt;4,CV46&gt;4,I48="ANO"),CS39,IF(AND(I38=8,CV40&gt;4,CV42&gt;4,CV44&gt;4,CV46&gt;4,I48="ANO"),CS40,""))))))))))))))))))))))))</f>
        <v/>
      </c>
      <c r="I97" s="358"/>
      <c r="J97" s="111" t="str">
        <f>IF(X93="","",X93)</f>
        <v/>
      </c>
      <c r="K97" s="91" t="str">
        <f t="shared" si="102"/>
        <v/>
      </c>
      <c r="L97" s="112" t="str">
        <f>IF(V93="","",V93)</f>
        <v/>
      </c>
      <c r="M97" s="111" t="str">
        <f>IF(X94="","",X94)</f>
        <v/>
      </c>
      <c r="N97" s="91" t="str">
        <f>IF(AND(M97="",O97=""),"",":")</f>
        <v/>
      </c>
      <c r="O97" s="112" t="str">
        <f>IF(V94="","",V94)</f>
        <v/>
      </c>
      <c r="P97" s="111" t="str">
        <f>IF(X95="","",X95)</f>
        <v/>
      </c>
      <c r="Q97" s="91" t="str">
        <f t="shared" si="84"/>
        <v/>
      </c>
      <c r="R97" s="112" t="str">
        <f>IF(V95="","",V95)</f>
        <v/>
      </c>
      <c r="S97" s="111" t="str">
        <f>IF(X96="","",X96)</f>
        <v/>
      </c>
      <c r="T97" s="91" t="str">
        <f>IF(AND(S97="",U97=""),"",":")</f>
        <v/>
      </c>
      <c r="U97" s="112" t="str">
        <f>IF(V96="","",V96)</f>
        <v/>
      </c>
      <c r="V97" s="87"/>
      <c r="W97" s="88"/>
      <c r="X97" s="89"/>
      <c r="Y97" s="90"/>
      <c r="Z97" s="91" t="str">
        <f>IF(AND(Y97="",AA97=""),"",":")</f>
        <v/>
      </c>
      <c r="AA97" s="92"/>
      <c r="AB97" s="90"/>
      <c r="AC97" s="91" t="str">
        <f t="shared" si="85"/>
        <v/>
      </c>
      <c r="AD97" s="92"/>
      <c r="AE97" s="359" t="s">
        <v>286</v>
      </c>
      <c r="AF97" s="354"/>
      <c r="AG97" s="355"/>
      <c r="AH97" s="93">
        <f>IF(X93&gt;V93,1)+IF(X94&gt;V94,1)+IF(X95&gt;V95,1)+IF(X96&gt;V96,1)+IF(Y97&gt;AA97,1)+IF(AB97&gt;AD97,1)</f>
        <v>0</v>
      </c>
      <c r="AI97" s="94" t="s">
        <v>197</v>
      </c>
      <c r="AJ97" s="95">
        <f>X93+X94+X95+X96+Y97+AB97</f>
        <v>0</v>
      </c>
      <c r="AK97" s="96" t="str">
        <f t="shared" si="103"/>
        <v>:</v>
      </c>
      <c r="AL97" s="97">
        <f>V93+V94+V95+V96+AA97+AD97</f>
        <v>0</v>
      </c>
      <c r="AM97" s="98" t="str">
        <f t="shared" si="86"/>
        <v>1.</v>
      </c>
      <c r="AN97" s="99" t="str">
        <f t="shared" si="87"/>
        <v>0 b</v>
      </c>
      <c r="AO97" s="100" t="str">
        <f t="shared" si="88"/>
        <v>(0:0)</v>
      </c>
      <c r="AP97" s="101" t="str">
        <f t="shared" si="89"/>
        <v/>
      </c>
      <c r="AQ97" s="102"/>
      <c r="AR97" s="103" t="str">
        <f t="shared" si="90"/>
        <v>1.</v>
      </c>
      <c r="AS97" s="102"/>
      <c r="AT97" s="104"/>
      <c r="AU97" s="104">
        <f t="shared" si="91"/>
        <v>0</v>
      </c>
      <c r="AV97" s="104">
        <f t="shared" si="92"/>
        <v>1</v>
      </c>
      <c r="AW97" s="106">
        <f>IF(AV93=AV97,X93,"")</f>
        <v>0</v>
      </c>
      <c r="AX97" s="105">
        <f>IF(AV94=AV97,X94,"")</f>
        <v>0</v>
      </c>
      <c r="AY97" s="105">
        <f>IF(AV95=AV97,X95,"")</f>
        <v>0</v>
      </c>
      <c r="AZ97" s="105">
        <f>IF(AV96=AV97,X96,"")</f>
        <v>0</v>
      </c>
      <c r="BA97" s="105"/>
      <c r="BB97" s="105">
        <f>IF(AV97=AV98,Y97,"")</f>
        <v>0</v>
      </c>
      <c r="BC97" s="105">
        <f>IF(AV97=AV99,AB97,"")</f>
        <v>0</v>
      </c>
      <c r="BD97" s="105">
        <f t="shared" si="93"/>
        <v>0</v>
      </c>
      <c r="BE97" s="105">
        <f t="shared" si="94"/>
        <v>0</v>
      </c>
      <c r="BF97" s="105"/>
      <c r="BG97" s="104">
        <f t="shared" si="95"/>
        <v>1</v>
      </c>
      <c r="BH97" s="105">
        <f>IF(AV93=AV97,V93,"")</f>
        <v>0</v>
      </c>
      <c r="BI97" s="105">
        <f>IF(AV94=AV97,V94,"")</f>
        <v>0</v>
      </c>
      <c r="BJ97" s="105">
        <f>IF(AV95=AV97,V95,"")</f>
        <v>0</v>
      </c>
      <c r="BK97" s="105">
        <f>IF(AV96=AV97,V96,"")</f>
        <v>0</v>
      </c>
      <c r="BL97" s="105"/>
      <c r="BM97" s="105">
        <f>IF(AV97=AV98,AA97,"")</f>
        <v>0</v>
      </c>
      <c r="BN97" s="105">
        <f>IF(AV97=AV99,AD97,"")</f>
        <v>0</v>
      </c>
      <c r="BO97" s="105">
        <f t="shared" si="96"/>
        <v>0</v>
      </c>
      <c r="BQ97" s="10" t="b">
        <f t="shared" si="97"/>
        <v>0</v>
      </c>
      <c r="BR97" s="10">
        <f t="shared" si="104"/>
        <v>0</v>
      </c>
      <c r="BS97" s="10" t="b">
        <f t="shared" si="98"/>
        <v>1</v>
      </c>
      <c r="BT97" s="10" t="str">
        <f>IF(BT96=0,"",BT96)</f>
        <v/>
      </c>
      <c r="BU97" s="10" t="str">
        <f>IF(BU96=0,"",BU96)</f>
        <v/>
      </c>
      <c r="BV97" s="10" t="str">
        <f>IF(BV96=0,"",BV96)</f>
        <v/>
      </c>
      <c r="BW97" s="10" t="str">
        <f>IF(BW96=0,"",BW96)</f>
        <v/>
      </c>
      <c r="BX97" s="10" t="str">
        <f>IF(BX96=0,"",BX96)</f>
        <v/>
      </c>
      <c r="BY97" s="10"/>
      <c r="BZ97" s="10" t="str">
        <f t="shared" si="99"/>
        <v/>
      </c>
      <c r="CA97" s="107"/>
      <c r="CB97" s="104">
        <f t="shared" si="100"/>
        <v>1</v>
      </c>
      <c r="CC97" s="106"/>
      <c r="CD97" s="105"/>
      <c r="CE97" s="105"/>
      <c r="CF97" s="105"/>
      <c r="CG97" s="105"/>
      <c r="CH97" s="106">
        <f>IF(CB97=CB98,1,"")</f>
        <v>1</v>
      </c>
      <c r="CI97" s="106">
        <f>IF(CB97=CB99,1,"")</f>
        <v>1</v>
      </c>
      <c r="CJ97" s="105">
        <f t="shared" si="101"/>
        <v>2</v>
      </c>
      <c r="CK97" s="107"/>
      <c r="CY97" s="109" t="str">
        <f t="shared" si="105"/>
        <v>1.</v>
      </c>
      <c r="CZ97" s="110" t="str">
        <f t="shared" si="106"/>
        <v/>
      </c>
      <c r="DA97" s="110"/>
      <c r="DB97" s="44" t="str">
        <f t="shared" si="107"/>
        <v/>
      </c>
      <c r="DC97" s="27" t="s">
        <v>205</v>
      </c>
      <c r="DE97" s="44">
        <f t="shared" si="108"/>
        <v>0</v>
      </c>
      <c r="DF97" s="44">
        <f>IF($CZ$97="",0,4)</f>
        <v>0</v>
      </c>
      <c r="DG97" s="44">
        <f>IF($CZ$97="",0,4)</f>
        <v>0</v>
      </c>
      <c r="DH97" s="44">
        <f>IF($CZ$97="",0,4)</f>
        <v>0</v>
      </c>
      <c r="DI97" s="44">
        <f>IF($CZ$97="",0,4)</f>
        <v>0</v>
      </c>
    </row>
    <row r="98" spans="2:113" ht="30" customHeight="1" x14ac:dyDescent="0.55000000000000004">
      <c r="D98" s="85" t="str">
        <f>IF(B93=7,$DE$19,"")</f>
        <v/>
      </c>
      <c r="E98" s="85" t="str">
        <f>IF(B93=7,$DE$20,"")</f>
        <v/>
      </c>
      <c r="F98" s="85" t="str">
        <f>IF(B93=7,$DE$21,"")</f>
        <v/>
      </c>
      <c r="G98" s="86" t="s">
        <v>6</v>
      </c>
      <c r="H98" s="358" t="str">
        <f>IF(AND(I38=4,CV40&lt;6,CV42&lt;6,CV44&lt;6,CV46&gt;5,I48="ANO"),CS25,IF(AND(I38=4,CV40&gt;5,CV42&lt;6,CV44&lt;6,CV46&gt;5,I48="ANO"),CS26,IF(AND(I38=4,CV40&lt;6,CV42&gt;5,CV44&lt;6,CV46&gt;5,I48="ANO"),CS26,IF(AND(I38=4,CV40&lt;6,CV42&lt;6,CV44&gt;5,CV46&gt;5,I48="ANO"),CS26,IF(AND(I38=4,CV40&gt;5,CV42&gt;5,CV44&lt;6,CV46&gt;5,I48="ANO"),CS27,IF(AND(I38=4,CV40&gt;5,CV42&lt;6,CV44&gt;5,CV46&gt;5,I48="ANO"),CS27,IF(AND(I38=4,CV40&lt;6,CV42&gt;5,CV44&gt;5,CV46&gt;5,I48="ANO"),CS27,IF(AND(I38=4,CV40&gt;5,CV42&gt;5,CV44&gt;5,CV46&gt;5,I48="ANO"),CS28,IF(AND(I38=6,CV40&lt;6,CV42&lt;6,CV44&lt;6,CV46&gt;5,I48="ANO"),CS35,IF(AND(I38=6,CV40&gt;5,CV42&lt;6,CV44&lt;6,CV46&gt;5,I48="ANO"),CS36,IF(AND(I38=6,CV40&lt;6,CV42&gt;5,CV44&lt;6,CV46&gt;5,I48="ANO"),CS36,IF(AND(I38=6,CV40&lt;6,CV42&lt;6,CV44&gt;5,CV46&gt;5,I48="ANO"),CS36,IF(AND(I38=6,CV40&gt;5,CV42&gt;5,CV44&lt;6,CV46&gt;5,I48="ANO"),CS37,IF(AND(I38=6,CV40&gt;5,CV42&lt;6,CV44&gt;5,CV46&gt;5,I48="ANO"),CS37,IF(AND(I38=6,CV40&lt;6,CV42&gt;5,CV44&gt;5,CV46&gt;5,I48="ANO"),CS37,IF(AND(I38=6,CV40&gt;5,CV42&gt;5,CV44&gt;5,CV46&gt;5,I48="ANO"),CS38,IF(AND(I38=8,CV40&lt;6,CV42&lt;6,CV44&lt;6,CV46&gt;5,I48="ANO"),CS45,IF(AND(I38=8,CV40&gt;5,CV42&lt;6,CV44&lt;6,CV46&gt;5,I48="ANO"),CS46,IF(AND(I38=8,CV40&lt;6,CV42&gt;5,CV44&lt;6,CV46&gt;5,I48="ANO"),CS46,IF(AND(I38=8,CV40&lt;6,CV42&lt;6,CV44&gt;5,CV46&gt;5,I48="ANO"),CS46,IF(AND(I38=8,CV40&gt;5,CV42&gt;5,CV44&lt;6,CV46&gt;5,I48="ANO"),CS47,IF(AND(I38=8,CV40&gt;5,CV42&lt;6,CV44&gt;5,CV46&gt;5,I48="ANO"),CS47,IF(AND(I38=8,CV40&lt;6,CV42&gt;5,CV44&gt;5,CV46&gt;5,I48="ANO"),CS47,IF(AND(I38=8,CV40&gt;5,CV42&gt;5,CV44&gt;5,CV46&gt;5,I48="ANO"),CS48,""))))))))))))))))))))))))</f>
        <v/>
      </c>
      <c r="I98" s="358"/>
      <c r="J98" s="111" t="str">
        <f>IF(AA93="","",AA93)</f>
        <v/>
      </c>
      <c r="K98" s="91" t="str">
        <f t="shared" si="102"/>
        <v/>
      </c>
      <c r="L98" s="112" t="str">
        <f>IF(Y93="","",Y93)</f>
        <v/>
      </c>
      <c r="M98" s="111" t="str">
        <f>IF(AA94="","",AA94)</f>
        <v/>
      </c>
      <c r="N98" s="91" t="str">
        <f>IF(AND(M98="",O98=""),"",":")</f>
        <v/>
      </c>
      <c r="O98" s="112" t="str">
        <f>IF(Y94="","",Y94)</f>
        <v/>
      </c>
      <c r="P98" s="111" t="str">
        <f>IF(AA95="","",AA95)</f>
        <v/>
      </c>
      <c r="Q98" s="91" t="str">
        <f t="shared" si="84"/>
        <v/>
      </c>
      <c r="R98" s="112" t="str">
        <f>IF(Y95="","",Y95)</f>
        <v/>
      </c>
      <c r="S98" s="111" t="str">
        <f>IF(AA96="","",AA96)</f>
        <v/>
      </c>
      <c r="T98" s="91" t="str">
        <f>IF(AND(S98="",U98=""),"",":")</f>
        <v/>
      </c>
      <c r="U98" s="112" t="str">
        <f>IF(Y96="","",Y96)</f>
        <v/>
      </c>
      <c r="V98" s="111" t="str">
        <f>IF(AA97="","",AA97)</f>
        <v/>
      </c>
      <c r="W98" s="91" t="str">
        <f>IF(AND(V98="",X98=""),"",":")</f>
        <v/>
      </c>
      <c r="X98" s="112" t="str">
        <f>IF(Y97="","",Y97)</f>
        <v/>
      </c>
      <c r="Y98" s="87"/>
      <c r="Z98" s="88"/>
      <c r="AA98" s="89"/>
      <c r="AB98" s="90"/>
      <c r="AC98" s="91" t="str">
        <f t="shared" si="85"/>
        <v/>
      </c>
      <c r="AD98" s="92"/>
      <c r="AE98" s="353" t="s">
        <v>287</v>
      </c>
      <c r="AF98" s="354"/>
      <c r="AG98" s="355"/>
      <c r="AH98" s="93">
        <f>IF(AA93&gt;Y93,1)+IF(AA94&gt;Y94,1)+IF(AA95&gt;Y95,1)+IF(AA96&gt;Y96,1)+IF(AA97&gt;Y97,1)+IF(AB98&gt;AD98,1)</f>
        <v>0</v>
      </c>
      <c r="AI98" s="94" t="s">
        <v>197</v>
      </c>
      <c r="AJ98" s="95">
        <f>AA93+AA94+AA95+AA96+AA97+AB98</f>
        <v>0</v>
      </c>
      <c r="AK98" s="96" t="str">
        <f t="shared" si="103"/>
        <v>:</v>
      </c>
      <c r="AL98" s="97">
        <f>Y93+Y94+Y95+Y96+Y97+AD98</f>
        <v>0</v>
      </c>
      <c r="AM98" s="98" t="str">
        <f t="shared" si="86"/>
        <v>1.</v>
      </c>
      <c r="AN98" s="99" t="str">
        <f t="shared" si="87"/>
        <v>0 b</v>
      </c>
      <c r="AO98" s="100" t="str">
        <f t="shared" si="88"/>
        <v>(0:0)</v>
      </c>
      <c r="AP98" s="101" t="str">
        <f t="shared" si="89"/>
        <v/>
      </c>
      <c r="AQ98" s="102"/>
      <c r="AR98" s="103" t="str">
        <f t="shared" si="90"/>
        <v>1.</v>
      </c>
      <c r="AS98" s="102"/>
      <c r="AT98" s="104"/>
      <c r="AU98" s="104">
        <f t="shared" si="91"/>
        <v>0</v>
      </c>
      <c r="AV98" s="104">
        <f t="shared" si="92"/>
        <v>1</v>
      </c>
      <c r="AW98" s="106">
        <f>IF(AV93=AV98,AA93,"")</f>
        <v>0</v>
      </c>
      <c r="AX98" s="105">
        <f>IF(AV94=AV98,AA94,"")</f>
        <v>0</v>
      </c>
      <c r="AY98" s="105">
        <f>IF(AV95=AV98,AA95,"")</f>
        <v>0</v>
      </c>
      <c r="AZ98" s="105">
        <f>IF(AV96=AV98,AA96,"")</f>
        <v>0</v>
      </c>
      <c r="BA98" s="105">
        <f>IF(AV97=AV98,AA97,"")</f>
        <v>0</v>
      </c>
      <c r="BB98" s="105"/>
      <c r="BC98" s="105">
        <f>IF(AV98=AV99,AB98,"")</f>
        <v>0</v>
      </c>
      <c r="BD98" s="105">
        <f t="shared" si="93"/>
        <v>0</v>
      </c>
      <c r="BE98" s="105">
        <f t="shared" si="94"/>
        <v>0</v>
      </c>
      <c r="BF98" s="105"/>
      <c r="BG98" s="104">
        <f t="shared" si="95"/>
        <v>1</v>
      </c>
      <c r="BH98" s="105">
        <f>IF(AV93=AV98,Y93,"")</f>
        <v>0</v>
      </c>
      <c r="BI98" s="105">
        <f>IF(AV94=AV98,Y94,"")</f>
        <v>0</v>
      </c>
      <c r="BJ98" s="105">
        <f>IF(AV95=AV98,Y95,"")</f>
        <v>0</v>
      </c>
      <c r="BK98" s="105">
        <f>IF(AV96=AV98,Y96,"")</f>
        <v>0</v>
      </c>
      <c r="BL98" s="105">
        <f>IF(AV97=AV98,Y97,"")</f>
        <v>0</v>
      </c>
      <c r="BM98" s="105"/>
      <c r="BN98" s="105">
        <f>IF(AV98=AV99,AD98,"")</f>
        <v>0</v>
      </c>
      <c r="BO98" s="105">
        <f t="shared" si="96"/>
        <v>0</v>
      </c>
      <c r="BQ98" s="10" t="b">
        <f t="shared" si="97"/>
        <v>0</v>
      </c>
      <c r="BR98" s="10">
        <f t="shared" si="104"/>
        <v>0</v>
      </c>
      <c r="BS98" s="10" t="b">
        <f t="shared" si="98"/>
        <v>1</v>
      </c>
      <c r="BT98" s="10"/>
      <c r="BU98" s="10"/>
      <c r="BV98" s="10"/>
      <c r="BW98" s="10"/>
      <c r="BX98" s="10"/>
      <c r="BY98" s="10"/>
      <c r="BZ98" s="10" t="str">
        <f t="shared" si="99"/>
        <v/>
      </c>
      <c r="CA98" s="107"/>
      <c r="CB98" s="104">
        <f t="shared" si="100"/>
        <v>1</v>
      </c>
      <c r="CC98" s="106"/>
      <c r="CD98" s="105"/>
      <c r="CE98" s="105"/>
      <c r="CF98" s="105"/>
      <c r="CG98" s="105"/>
      <c r="CH98" s="105"/>
      <c r="CI98" s="106">
        <f>IF(CB98=CB99,1,"")</f>
        <v>1</v>
      </c>
      <c r="CJ98" s="105">
        <f t="shared" si="101"/>
        <v>1</v>
      </c>
      <c r="CK98" s="107"/>
      <c r="CY98" s="109" t="str">
        <f t="shared" si="105"/>
        <v>1.</v>
      </c>
      <c r="CZ98" s="110" t="str">
        <f t="shared" si="106"/>
        <v/>
      </c>
      <c r="DA98" s="110"/>
      <c r="DB98" s="44" t="str">
        <f t="shared" si="107"/>
        <v/>
      </c>
      <c r="DC98" s="27" t="s">
        <v>206</v>
      </c>
      <c r="DE98" s="44">
        <f t="shared" si="108"/>
        <v>0</v>
      </c>
      <c r="DF98" s="44">
        <f>IF($CZ$98="",0,4)</f>
        <v>0</v>
      </c>
      <c r="DG98" s="44">
        <f>IF($CZ$98="",0,4)</f>
        <v>0</v>
      </c>
      <c r="DH98" s="44">
        <f>IF($CZ$98="",0,4)</f>
        <v>0</v>
      </c>
      <c r="DI98" s="44">
        <f>IF($CZ$98="",0,4)</f>
        <v>0</v>
      </c>
    </row>
    <row r="99" spans="2:113" ht="30" customHeight="1" x14ac:dyDescent="0.55000000000000004">
      <c r="D99" s="85" t="str">
        <f>IF(B93=7,$DE$22,"")</f>
        <v/>
      </c>
      <c r="E99" s="85" t="str">
        <f>IF(B93=7,$DE$23,"")</f>
        <v/>
      </c>
      <c r="F99" s="85" t="str">
        <f>IF(B93=7,$DE$24,"")</f>
        <v/>
      </c>
      <c r="G99" s="86" t="s">
        <v>7</v>
      </c>
      <c r="H99" s="358" t="str">
        <f>IF(AND(I38=4,CV40&lt;7,CV42&lt;7,CV44&lt;7,CV46&gt;6,I48="ANO"),CS29,IF(AND(I38=4,CV40&gt;6,CV42&lt;7,CV44&lt;7,CV46&gt;6,I48="ANO"),CS30,IF(AND(I38=4,CV40&lt;7,CV42&gt;6,CV44&lt;7,CV46&gt;6,I48="ANO"),CS30,IF(AND(I38=4,CV40&lt;7,CV42&lt;7,CV44&gt;6,CV46&gt;6,I48="ANO"),CS30,IF(AND(I38=4,CV40&gt;6,CV42&gt;6,CV44&lt;7,CV46&gt;6,I48="ANO"),CS31,IF(AND(I38=4,CV40&gt;6,CV42&lt;7,CV44&gt;6,CV46&gt;6,I48="ANO"),CS31,IF(AND(I38=4,CV40&lt;7,CV42&gt;6,CV44&gt;6,CV46&gt;6,I48="ANO"),CS31,IF(AND(I38=4,CV40&gt;6,CV42&gt;6,CV44&gt;6,CV46&gt;6,I48="ANO"),CS32,IF(AND(I38=6,CV40&lt;7,CV42&lt;7,CV44&lt;7,CV46&gt;6,I48="ANO"),CS41,IF(AND(I38=6,CV40&gt;6,CV42&lt;7,CV44&lt;7,CV46&gt;6,I48="ANO"),CS42,IF(AND(I38=6,CV40&lt;7,CV42&gt;6,CV44&lt;7,CV46&gt;6,I48="ANO"),CS42,IF(AND(I38=6,CV40&lt;7,CV42&lt;7,CV44&gt;6,CV46&gt;6,I48="ANO"),CS42,IF(AND(I38=6,CV40&gt;6,CV42&gt;6,CV44&lt;7,CV46&gt;6,I48="ANO"),CS43,IF(AND(I38=6,CV40&gt;6,CV42&lt;7,CV44&gt;6,CV46&gt;6,I48="ANO"),CS43,IF(AND(I38=6,CV40&lt;7,CV42&gt;6,CV44&gt;6,CV46&gt;6,I48="ANO"),CS43,IF(AND(I38=6,CV40&gt;6,CV42&gt;6,CV44&gt;6,CV46&gt;6,I48="ANO"),CS44,IF(AND(I38=8,CV40&lt;7,CV42&lt;7,CV44&lt;7,CV46&gt;6,I48="ANO"),CS53,IF(AND(I38=8,CV40&gt;6,CV42&lt;7,CV44&lt;7,CV46&gt;6,I48="ANO"),CS54,IF(AND(I38=8,CV40&lt;7,CV42&gt;6,CV44&lt;7,CV46&gt;6,I48="ANO"),CS54,IF(AND(I38=8,CV40&lt;7,CV42&lt;7,CV44&gt;6,CV46&gt;6,I48="ANO"),CS54,IF(AND(I38=8,CV40&gt;6,CV42&gt;6,CV44&lt;7,CV46&gt;6,I48="ANO"),CS55,IF(AND(I38=8,CV40&gt;6,CV42&lt;7,CV44&gt;6,CV46&gt;6,I48="ANO"),CS55,IF(AND(I38=8,CV40&lt;7,CV42&gt;6,CV44&gt;6,CV46&gt;6,I48="ANO"),CS55,IF(AND(I38=8,CV40&gt;6,CV42&gt;6,CV44&gt;6,CV46&gt;6,I48="ANO"),CS56,""))))))))))))))))))))))))</f>
        <v/>
      </c>
      <c r="I99" s="358"/>
      <c r="J99" s="111" t="str">
        <f>IF(AD93="","",AD93)</f>
        <v/>
      </c>
      <c r="K99" s="91" t="str">
        <f t="shared" si="102"/>
        <v/>
      </c>
      <c r="L99" s="112" t="str">
        <f>IF(AB93="","",AB93)</f>
        <v/>
      </c>
      <c r="M99" s="111" t="str">
        <f>IF(AD94="","",AD94)</f>
        <v/>
      </c>
      <c r="N99" s="91" t="str">
        <f>IF(AND(M99="",O99=""),"",":")</f>
        <v/>
      </c>
      <c r="O99" s="112" t="str">
        <f>IF(AB94="","",AB94)</f>
        <v/>
      </c>
      <c r="P99" s="111" t="str">
        <f>IF(AD95="","",AD95)</f>
        <v/>
      </c>
      <c r="Q99" s="91" t="str">
        <f t="shared" si="84"/>
        <v/>
      </c>
      <c r="R99" s="112" t="str">
        <f>IF(AB95="","",AB95)</f>
        <v/>
      </c>
      <c r="S99" s="111" t="str">
        <f>IF(AD96="","",AD96)</f>
        <v/>
      </c>
      <c r="T99" s="91" t="str">
        <f>IF(AND(S99="",U99=""),"",":")</f>
        <v/>
      </c>
      <c r="U99" s="112" t="str">
        <f>IF(AB96="","",AB96)</f>
        <v/>
      </c>
      <c r="V99" s="111" t="str">
        <f>IF(AD97="","",AD97)</f>
        <v/>
      </c>
      <c r="W99" s="91" t="str">
        <f>IF(AND(V99="",X99=""),"",":")</f>
        <v/>
      </c>
      <c r="X99" s="112" t="str">
        <f>IF(AB97="","",AB97)</f>
        <v/>
      </c>
      <c r="Y99" s="111" t="str">
        <f>IF(AD98="","",AD98)</f>
        <v/>
      </c>
      <c r="Z99" s="91" t="str">
        <f>IF(AND(Y99="",AA99=""),"",":")</f>
        <v/>
      </c>
      <c r="AA99" s="112" t="str">
        <f>IF(AB98="","",AB98)</f>
        <v/>
      </c>
      <c r="AB99" s="87"/>
      <c r="AC99" s="88"/>
      <c r="AD99" s="89"/>
      <c r="AE99" s="359" t="s">
        <v>288</v>
      </c>
      <c r="AF99" s="354"/>
      <c r="AG99" s="355"/>
      <c r="AH99" s="93">
        <f>IF(AD93&gt;AB93,1)+IF(AD94&gt;AB94,1)+IF(AD95&gt;AB95,1)+IF(AD96&gt;AB96,1)+IF(AD97&gt;AB97,1)+IF(AD98&gt;AB98,1)</f>
        <v>0</v>
      </c>
      <c r="AI99" s="94" t="s">
        <v>197</v>
      </c>
      <c r="AJ99" s="95">
        <f>AD93+AD94+AD95+AD96+AD97+AD98</f>
        <v>0</v>
      </c>
      <c r="AK99" s="96" t="str">
        <f t="shared" si="103"/>
        <v>:</v>
      </c>
      <c r="AL99" s="97">
        <f>AB93+AB94+AB95+AB96+AB97+AB98</f>
        <v>0</v>
      </c>
      <c r="AM99" s="98" t="str">
        <f t="shared" si="86"/>
        <v>1.</v>
      </c>
      <c r="AN99" s="99" t="str">
        <f t="shared" si="87"/>
        <v>0 b</v>
      </c>
      <c r="AO99" s="100" t="str">
        <f t="shared" si="88"/>
        <v>(0:0)</v>
      </c>
      <c r="AP99" s="101" t="str">
        <f t="shared" si="89"/>
        <v/>
      </c>
      <c r="AQ99" s="102"/>
      <c r="AR99" s="103" t="str">
        <f t="shared" si="90"/>
        <v>1.</v>
      </c>
      <c r="AS99" s="102"/>
      <c r="AT99" s="104"/>
      <c r="AU99" s="104">
        <f t="shared" si="91"/>
        <v>0</v>
      </c>
      <c r="AV99" s="104">
        <f t="shared" si="92"/>
        <v>1</v>
      </c>
      <c r="AW99" s="106">
        <f>IF(AV93=AV99,AD93,"")</f>
        <v>0</v>
      </c>
      <c r="AX99" s="105">
        <f>IF(AV94=AV99,AD94,"")</f>
        <v>0</v>
      </c>
      <c r="AY99" s="105">
        <f>IF(AV95=AV99,AD95,"")</f>
        <v>0</v>
      </c>
      <c r="AZ99" s="105">
        <f>IF(AV96=AV99,AD96,"")</f>
        <v>0</v>
      </c>
      <c r="BA99" s="105">
        <f>IF(AV97=AV99,AD97,"")</f>
        <v>0</v>
      </c>
      <c r="BB99" s="105">
        <f>IF(AV98=AV99,AD98,"")</f>
        <v>0</v>
      </c>
      <c r="BC99" s="105"/>
      <c r="BD99" s="105">
        <f t="shared" si="93"/>
        <v>0</v>
      </c>
      <c r="BE99" s="105">
        <f t="shared" si="94"/>
        <v>0</v>
      </c>
      <c r="BF99" s="105"/>
      <c r="BG99" s="104">
        <f t="shared" si="95"/>
        <v>1</v>
      </c>
      <c r="BH99" s="105">
        <f>IF(AV93=AV99,AB93,"")</f>
        <v>0</v>
      </c>
      <c r="BI99" s="105">
        <f>IF(AV94=AV99,AB94,"")</f>
        <v>0</v>
      </c>
      <c r="BJ99" s="105">
        <f>IF(AV95=AV99,AB95,"")</f>
        <v>0</v>
      </c>
      <c r="BK99" s="105">
        <f>IF(AV96=AV99,AB96,"")</f>
        <v>0</v>
      </c>
      <c r="BL99" s="105">
        <f>IF(AV97=AV99,AB97,"")</f>
        <v>0</v>
      </c>
      <c r="BM99" s="105">
        <f>IF(AV98=AV99,AB98,"")</f>
        <v>0</v>
      </c>
      <c r="BN99" s="105"/>
      <c r="BO99" s="105">
        <f t="shared" si="96"/>
        <v>0</v>
      </c>
      <c r="BQ99" s="10" t="b">
        <f t="shared" si="97"/>
        <v>0</v>
      </c>
      <c r="BR99" s="10">
        <f t="shared" si="104"/>
        <v>0</v>
      </c>
      <c r="BS99" s="10" t="b">
        <f t="shared" si="98"/>
        <v>1</v>
      </c>
      <c r="BT99" s="10"/>
      <c r="BU99" s="10"/>
      <c r="BV99" s="10"/>
      <c r="BW99" s="10"/>
      <c r="BX99" s="10"/>
      <c r="BY99" s="10"/>
      <c r="BZ99" s="10" t="str">
        <f t="shared" si="99"/>
        <v/>
      </c>
      <c r="CA99" s="107"/>
      <c r="CB99" s="104">
        <f t="shared" si="100"/>
        <v>1</v>
      </c>
      <c r="CC99" s="106"/>
      <c r="CD99" s="105"/>
      <c r="CE99" s="105"/>
      <c r="CF99" s="105"/>
      <c r="CG99" s="105"/>
      <c r="CH99" s="105"/>
      <c r="CI99" s="105"/>
      <c r="CJ99" s="105">
        <f t="shared" si="101"/>
        <v>0</v>
      </c>
      <c r="CK99" s="107"/>
      <c r="CY99" s="109" t="str">
        <f t="shared" si="105"/>
        <v>1.</v>
      </c>
      <c r="CZ99" s="110" t="str">
        <f t="shared" si="106"/>
        <v/>
      </c>
      <c r="DA99" s="110"/>
      <c r="DB99" s="44" t="str">
        <f t="shared" si="107"/>
        <v/>
      </c>
      <c r="DC99" s="27" t="s">
        <v>207</v>
      </c>
      <c r="DE99" s="44">
        <f t="shared" si="108"/>
        <v>0</v>
      </c>
      <c r="DF99" s="44">
        <f>IF($CZ$99="",0,4)</f>
        <v>0</v>
      </c>
      <c r="DG99" s="44">
        <f>IF($CZ$99="",0,4)</f>
        <v>0</v>
      </c>
      <c r="DH99" s="44">
        <f>IF($CZ$99="",0,4)</f>
        <v>0</v>
      </c>
      <c r="DI99" s="44">
        <f>IF($CZ$99="",0,4)</f>
        <v>0</v>
      </c>
    </row>
    <row r="100" spans="2:113" ht="11.25" customHeight="1" x14ac:dyDescent="0.5">
      <c r="AK100" s="118"/>
      <c r="AN100" s="119"/>
      <c r="AP100" s="119">
        <f>COUNTIF(AP93:AP99,"&gt;0")</f>
        <v>0</v>
      </c>
      <c r="AU100" s="10">
        <f>COUNTIF(AU93:AU99,"&gt;0")</f>
        <v>0</v>
      </c>
      <c r="AY100" s="10"/>
      <c r="BR100" s="9">
        <f>SUM(BR93:BR99)</f>
        <v>0</v>
      </c>
      <c r="BS100" s="10">
        <f>COUNTIF(BS93:BS99,TRUE)</f>
        <v>7</v>
      </c>
      <c r="BT100" s="9">
        <f>BR100*BS100</f>
        <v>0</v>
      </c>
      <c r="BZ100" s="10">
        <f>COUNTIF(BZ93:BZ99,1)</f>
        <v>0</v>
      </c>
      <c r="CE100" s="10"/>
      <c r="CK100" s="120">
        <f>SUM(AH93:AH99)</f>
        <v>0</v>
      </c>
    </row>
    <row r="103" spans="2:113" ht="165" customHeight="1" x14ac:dyDescent="0.9">
      <c r="H103" s="356" t="s">
        <v>214</v>
      </c>
      <c r="I103" s="357"/>
      <c r="J103" s="360" t="str">
        <f>H104</f>
        <v/>
      </c>
      <c r="K103" s="345"/>
      <c r="L103" s="346"/>
      <c r="M103" s="360" t="str">
        <f>H105</f>
        <v/>
      </c>
      <c r="N103" s="345"/>
      <c r="O103" s="346"/>
      <c r="P103" s="360" t="str">
        <f>H106</f>
        <v/>
      </c>
      <c r="Q103" s="345"/>
      <c r="R103" s="346"/>
      <c r="S103" s="360" t="str">
        <f>H107</f>
        <v/>
      </c>
      <c r="T103" s="345"/>
      <c r="U103" s="346"/>
      <c r="V103" s="360" t="str">
        <f>H108</f>
        <v/>
      </c>
      <c r="W103" s="345"/>
      <c r="X103" s="346"/>
      <c r="Y103" s="360" t="str">
        <f>H109</f>
        <v/>
      </c>
      <c r="Z103" s="345"/>
      <c r="AA103" s="346"/>
      <c r="AB103" s="360" t="str">
        <f>H110</f>
        <v/>
      </c>
      <c r="AC103" s="345"/>
      <c r="AD103" s="346"/>
      <c r="AE103" s="347" t="s">
        <v>175</v>
      </c>
      <c r="AF103" s="348"/>
      <c r="AG103" s="349"/>
      <c r="AH103" s="347" t="s">
        <v>176</v>
      </c>
      <c r="AI103" s="349"/>
      <c r="AJ103" s="350" t="s">
        <v>177</v>
      </c>
      <c r="AK103" s="350"/>
      <c r="AL103" s="350"/>
      <c r="AM103" s="75" t="s">
        <v>178</v>
      </c>
      <c r="AN103" s="76" t="s">
        <v>179</v>
      </c>
      <c r="AO103" s="76" t="s">
        <v>180</v>
      </c>
      <c r="AP103" s="77" t="s">
        <v>181</v>
      </c>
      <c r="AQ103" s="78"/>
      <c r="AR103" s="78" t="s">
        <v>182</v>
      </c>
      <c r="AS103" s="79"/>
      <c r="AT103" s="80"/>
      <c r="AU103" s="80"/>
      <c r="AV103" s="81" t="s">
        <v>183</v>
      </c>
      <c r="AW103" s="82">
        <v>1</v>
      </c>
      <c r="AX103" s="82">
        <v>2</v>
      </c>
      <c r="AY103" s="82">
        <v>3</v>
      </c>
      <c r="AZ103" s="81" t="s">
        <v>4</v>
      </c>
      <c r="BA103" s="81" t="s">
        <v>5</v>
      </c>
      <c r="BB103" s="81" t="s">
        <v>6</v>
      </c>
      <c r="BC103" s="81" t="s">
        <v>7</v>
      </c>
      <c r="BD103" s="81" t="s">
        <v>184</v>
      </c>
      <c r="BG103" s="81" t="s">
        <v>178</v>
      </c>
      <c r="BH103" s="82">
        <v>1</v>
      </c>
      <c r="BI103" s="82">
        <v>2</v>
      </c>
      <c r="BJ103" s="82">
        <v>3</v>
      </c>
      <c r="BK103" s="81" t="s">
        <v>4</v>
      </c>
      <c r="BL103" s="81" t="s">
        <v>5</v>
      </c>
      <c r="BM103" s="81" t="s">
        <v>6</v>
      </c>
      <c r="BN103" s="81" t="s">
        <v>7</v>
      </c>
      <c r="BO103" s="81" t="s">
        <v>185</v>
      </c>
      <c r="BQ103" s="81" t="s">
        <v>186</v>
      </c>
      <c r="BR103" s="81" t="s">
        <v>187</v>
      </c>
      <c r="BS103" s="81" t="s">
        <v>188</v>
      </c>
      <c r="BT103" s="81" t="s">
        <v>189</v>
      </c>
      <c r="BU103" s="81" t="s">
        <v>190</v>
      </c>
      <c r="BV103" s="81" t="s">
        <v>191</v>
      </c>
      <c r="BW103" s="81" t="s">
        <v>192</v>
      </c>
      <c r="BX103" s="81" t="s">
        <v>193</v>
      </c>
      <c r="BY103" s="81"/>
      <c r="BZ103" s="81" t="s">
        <v>194</v>
      </c>
      <c r="CA103" s="83"/>
      <c r="CB103" s="81" t="s">
        <v>195</v>
      </c>
      <c r="CC103" s="82">
        <v>1</v>
      </c>
      <c r="CD103" s="82">
        <v>2</v>
      </c>
      <c r="CE103" s="82">
        <v>3</v>
      </c>
      <c r="CF103" s="81" t="s">
        <v>4</v>
      </c>
      <c r="CG103" s="81" t="s">
        <v>5</v>
      </c>
      <c r="CH103" s="81" t="s">
        <v>6</v>
      </c>
      <c r="CI103" s="81" t="s">
        <v>7</v>
      </c>
      <c r="CJ103" s="81" t="s">
        <v>184</v>
      </c>
      <c r="CK103" s="83" t="s">
        <v>196</v>
      </c>
      <c r="CY103" s="11" t="s">
        <v>178</v>
      </c>
      <c r="CZ103" s="11" t="s">
        <v>14</v>
      </c>
      <c r="DB103" s="1" t="s">
        <v>14</v>
      </c>
      <c r="DC103" s="1" t="s">
        <v>178</v>
      </c>
    </row>
    <row r="104" spans="2:113" ht="30" customHeight="1" x14ac:dyDescent="0.55000000000000004">
      <c r="B104" s="84">
        <f>CX40</f>
        <v>0</v>
      </c>
      <c r="D104" s="85" t="str">
        <f>IF(B104=3,$DA$4,IF(B104=4,$DB$4,IF(B104=5,$DC$4,IF(B104=6,$DD$4,IF(B104=7,$DE$4,"")))))</f>
        <v/>
      </c>
      <c r="E104" s="85" t="str">
        <f>IF(B104=3,$DA$5,IF(B104=4,$DB$5,IF(B104=5,$DC$5,IF(B104=6,$DD$5,IF(B104=7,$DE$5,"")))))</f>
        <v/>
      </c>
      <c r="F104" s="85" t="str">
        <f>IF(B104=3,$DA$6,IF(B104=4,$DB$6,IF(B104=5,$DC$6,IF(B104=6,$DD$6,IF(B104=7,$DE$6,"")))))</f>
        <v/>
      </c>
      <c r="G104" s="86" t="s">
        <v>21</v>
      </c>
      <c r="H104" s="358" t="str">
        <f>IF(AND(I36&lt;&gt;8,I38=6,CX40&gt;0,I48="ANO"),CS9,IF(AND(I36=8,I38=6,CX40&gt;0,I48="ANO"),CS7,IF(AND(I38=8,CX40&gt;0,I48="ANO"),CS9,"")))</f>
        <v/>
      </c>
      <c r="I104" s="358"/>
      <c r="J104" s="87"/>
      <c r="K104" s="88"/>
      <c r="L104" s="89"/>
      <c r="M104" s="90"/>
      <c r="N104" s="91" t="str">
        <f>IF(AND(M104="",O104=""),"",":")</f>
        <v/>
      </c>
      <c r="O104" s="92"/>
      <c r="P104" s="90"/>
      <c r="Q104" s="91" t="str">
        <f t="shared" ref="Q104:Q110" si="109">IF(AND(P104="",R104=""),"",":")</f>
        <v/>
      </c>
      <c r="R104" s="92"/>
      <c r="S104" s="90"/>
      <c r="T104" s="91" t="str">
        <f>IF(AND(S104="",U104=""),"",":")</f>
        <v/>
      </c>
      <c r="U104" s="92"/>
      <c r="V104" s="90"/>
      <c r="W104" s="91" t="str">
        <f>IF(AND(V104="",X104=""),"",":")</f>
        <v/>
      </c>
      <c r="X104" s="92"/>
      <c r="Y104" s="90"/>
      <c r="Z104" s="91" t="str">
        <f>IF(AND(Y104="",AA104=""),"",":")</f>
        <v/>
      </c>
      <c r="AA104" s="92"/>
      <c r="AB104" s="90"/>
      <c r="AC104" s="91" t="str">
        <f t="shared" ref="AC104:AC109" si="110">IF(AND(AB104="",AD104=""),"",":")</f>
        <v/>
      </c>
      <c r="AD104" s="92"/>
      <c r="AE104" s="353">
        <v>180</v>
      </c>
      <c r="AF104" s="354"/>
      <c r="AG104" s="355"/>
      <c r="AH104" s="93">
        <f>IF(M104&gt;O104,1)+IF(P104&gt;R104,1)+IF(S104&gt;U104,1)+IF(V104&gt;X104,1)+IF(Y104&gt;AA104,1)+IF(AB104&gt;AD104,1)</f>
        <v>0</v>
      </c>
      <c r="AI104" s="94" t="s">
        <v>197</v>
      </c>
      <c r="AJ104" s="95">
        <f>M104+P104+S104+V104+Y104+AB104</f>
        <v>0</v>
      </c>
      <c r="AK104" s="96" t="str">
        <f>IF(AND(AJ104="",AL104=""),"",":")</f>
        <v>:</v>
      </c>
      <c r="AL104" s="97">
        <f>O104+R104+U104+X104+AA104+AD104</f>
        <v>0</v>
      </c>
      <c r="AM104" s="98" t="str">
        <f t="shared" ref="AM104:AM110" si="111">COUNTIF($AH$104:$AH$110,"&gt;"&amp;AH104)+COUNTIFS($AH$104:$AH$110,AH104,$AN$104:$AN$110,"&gt;"&amp;AN104)+COUNTIFS($AH$104:$AH$110,AH104,$AN$104:$AN$110,AN104,$BD$104:$BD$110,"&gt;"&amp;BD104)+COUNTIFS($AH$104:$AH$110,AH104,$AN$104:$AN$110,AN104,$BD$104:$BD$110,BD104,$BO$104:$BO$110,"&lt;"&amp;BO104)+COUNTIFS($AH$104:$AH$110,AH104,$AN$104:$AN$110,AN104,$BD$104:$BD$110,BD104,$BO$104:$BO$110,BO104,$AP$104:$AP$110,"&lt;"&amp;AP104)+1 &amp;"."</f>
        <v>1.</v>
      </c>
      <c r="AN104" s="99" t="str">
        <f t="shared" ref="AN104:AN110" si="112">IF(AW104&gt;BH104,1,)+IF(AX104&gt;BI104,1)+IF(AY104&gt;BJ104,1)+IF(AZ104&gt;BK104,1)+IF(BA104&gt;BL104,1)+IF(BB104&gt;BM104,1)+IF(BC104&gt;BN104,1,)&amp;" b"</f>
        <v>0 b</v>
      </c>
      <c r="AO104" s="100" t="str">
        <f t="shared" ref="AO104:AO110" si="113">CONCATENATE("("&amp;(BD104),":",(BO104)&amp;")")</f>
        <v>(0:0)</v>
      </c>
      <c r="AP104" s="101" t="str">
        <f t="shared" ref="AP104:AP110" si="114">IF(AND(BS104=TRUE,BR104&lt;&gt;0),"?","")</f>
        <v/>
      </c>
      <c r="AQ104" s="102"/>
      <c r="AR104" s="103" t="str">
        <f t="shared" ref="AR104:AR110" si="115">RANK(AH104,$AH$104:$AH$110,0)&amp;"."</f>
        <v>1.</v>
      </c>
      <c r="AS104" s="102"/>
      <c r="AT104" s="104"/>
      <c r="AU104" s="104">
        <f t="shared" ref="AU104:AU110" si="116">IF(AW104&gt;BH104,1,)+IF(AX104&gt;BI104,1)+IF(AY104&gt;BJ104,1)+IF(AZ104&gt;BK104,1)+IF(BA104&gt;BL104,1)+IF(BB104&gt;BM104,1)+IF(BC104&gt;BN104,1,)</f>
        <v>0</v>
      </c>
      <c r="AV104" s="104">
        <f t="shared" ref="AV104:AV110" si="117">RANK(AH104,$AH$104:$AH$110,0)</f>
        <v>1</v>
      </c>
      <c r="AW104" s="105"/>
      <c r="AX104" s="106">
        <f>IF(AV104=AV105,M104,"")</f>
        <v>0</v>
      </c>
      <c r="AY104" s="105">
        <f>IF(AV104=AV106,P104,"")</f>
        <v>0</v>
      </c>
      <c r="AZ104" s="105">
        <f>IF(AV104=AV107,S104,"")</f>
        <v>0</v>
      </c>
      <c r="BA104" s="105">
        <f>IF(AV104=AV108,V104,"")</f>
        <v>0</v>
      </c>
      <c r="BB104" s="105">
        <f>IF(AV104=AV109,Y104,"")</f>
        <v>0</v>
      </c>
      <c r="BC104" s="105">
        <f>IF(AV104=AV110,AB104,"")</f>
        <v>0</v>
      </c>
      <c r="BD104" s="105">
        <f t="shared" ref="BD104:BD110" si="118">SUM(AW104:BC104)</f>
        <v>0</v>
      </c>
      <c r="BE104" s="105">
        <f t="shared" ref="BE104:BE110" si="119">IF(BD104=0,0,"1")</f>
        <v>0</v>
      </c>
      <c r="BF104" s="105"/>
      <c r="BG104" s="104">
        <f t="shared" ref="BG104:BG110" si="120">RANK(AH104,$AH$104:$AH$110,0)</f>
        <v>1</v>
      </c>
      <c r="BH104" s="105"/>
      <c r="BI104" s="105">
        <f>IF(AV104=AV105,O104,"")</f>
        <v>0</v>
      </c>
      <c r="BJ104" s="105">
        <f>IF(AV104=AV106,R104,"")</f>
        <v>0</v>
      </c>
      <c r="BK104" s="105">
        <f>IF(AV104=AV107,U104,"")</f>
        <v>0</v>
      </c>
      <c r="BL104" s="105">
        <f>IF(AV104=AV108,X104,"")</f>
        <v>0</v>
      </c>
      <c r="BM104" s="105">
        <f>IF(AV104=AV109,AA104,"")</f>
        <v>0</v>
      </c>
      <c r="BN104" s="105">
        <f>IF(AV104=AV110,AD104,"")</f>
        <v>0</v>
      </c>
      <c r="BO104" s="105">
        <f t="shared" ref="BO104:BO110" si="121">SUM(BH104:BN104)</f>
        <v>0</v>
      </c>
      <c r="BQ104" s="10" t="b">
        <f t="shared" ref="BQ104:BQ110" si="122">IF(COUNTIF($AH$104:$AH$110,1)=1,1,IF(COUNTIF($AH$104:$AH$110,2)=2,2,IF(COUNTIF($AH$104:$AH$110,3)=3,3,IF(COUNTIF($AH$104:$AH$110,4)=4,4,IF(COUNTIF($AH$104:$AH$110,5)=5,5)))))</f>
        <v>0</v>
      </c>
      <c r="BR104" s="10">
        <f>AH104*(BD104*100+AH104+BO104*3.14+AU104*22)*10</f>
        <v>0</v>
      </c>
      <c r="BS104" s="10" t="b">
        <f t="shared" ref="BS104:BS110" si="123">COUNTIF($BR$104:$BR$110,BR104)&gt;1</f>
        <v>1</v>
      </c>
      <c r="BT104" s="10">
        <f>COUNTIF($AH$104:$AH$110,1)</f>
        <v>0</v>
      </c>
      <c r="BU104" s="10">
        <f>COUNTIF($AH$104:$AH$110,2)</f>
        <v>0</v>
      </c>
      <c r="BV104" s="10">
        <f>COUNTIF($AH$104:$AH$110,3)</f>
        <v>0</v>
      </c>
      <c r="BW104" s="10">
        <f>COUNTIF($AH$104:$AH$110,4)</f>
        <v>0</v>
      </c>
      <c r="BX104" s="10">
        <f>COUNTIF($AH$104:$AH$110,5)</f>
        <v>0</v>
      </c>
      <c r="BY104" s="10"/>
      <c r="BZ104" s="10" t="str">
        <f t="shared" ref="BZ104:BZ110" si="124">IF(AND(BS104=TRUE,BR104&lt;&gt;0),"1","")</f>
        <v/>
      </c>
      <c r="CA104" s="107"/>
      <c r="CB104" s="104">
        <f t="shared" ref="CB104:CB110" si="125">RANK(AH104,$AH$104:$AH$110,0)</f>
        <v>1</v>
      </c>
      <c r="CC104" s="105"/>
      <c r="CD104" s="106">
        <f>IF(CB104=CB105,1,"")</f>
        <v>1</v>
      </c>
      <c r="CE104" s="106">
        <f>IF(CB104=CB106,1,"")</f>
        <v>1</v>
      </c>
      <c r="CF104" s="106">
        <f>IF(CB104=CB107,1,"")</f>
        <v>1</v>
      </c>
      <c r="CG104" s="106">
        <f>IF(CB104=CB108,1,"")</f>
        <v>1</v>
      </c>
      <c r="CH104" s="106">
        <f>IF(CB104=CB109,1,"")</f>
        <v>1</v>
      </c>
      <c r="CI104" s="106">
        <f>IF(CB104=CB110,1,"")</f>
        <v>1</v>
      </c>
      <c r="CJ104" s="105">
        <f t="shared" ref="CJ104:CJ110" si="126">SUM(CC104:CI104)</f>
        <v>6</v>
      </c>
      <c r="CK104" s="107"/>
      <c r="CX104" s="11" t="s">
        <v>215</v>
      </c>
      <c r="CY104" s="109" t="str">
        <f>AM104</f>
        <v>1.</v>
      </c>
      <c r="CZ104" s="110" t="str">
        <f>H104</f>
        <v/>
      </c>
      <c r="DA104" s="110"/>
      <c r="DB104" s="44" t="str">
        <f>IF(DE104&gt;0,VLOOKUP(DC104,$CY$104:$CZ$110,2,0),"")</f>
        <v/>
      </c>
      <c r="DC104" s="27" t="s">
        <v>199</v>
      </c>
      <c r="DE104" s="44">
        <f>IF(CZ104="",0,5)</f>
        <v>0</v>
      </c>
    </row>
    <row r="105" spans="2:113" ht="30" customHeight="1" x14ac:dyDescent="0.55000000000000004">
      <c r="D105" s="85" t="str">
        <f>IF(B104=4,$DB$7,IF(B104=5,$DC$7,IF(B104=6,$DD$7,IF(B104=7,$DE$7,""))))</f>
        <v/>
      </c>
      <c r="E105" s="85" t="str">
        <f>IF(B104=4,$DB$8,IF(B104=5,$DC$8,IF(B104=6,$DD$8,IF(B104=7,$DE$8,""))))</f>
        <v/>
      </c>
      <c r="F105" s="85" t="str">
        <f>IF(B104=4,$DB$9,IF(B104=5,$DC$9,IF(B104=6,$DD$9,IF(B104=7,$DE$9,""))))</f>
        <v/>
      </c>
      <c r="G105" s="86" t="s">
        <v>29</v>
      </c>
      <c r="H105" s="358" t="str">
        <f>IF(AND(I36&lt;&gt;8,I38=6,CX40&gt;0,I48="ANO"),CS15,IF(AND(I36=8,I38=6,CX40&gt;0,I48="ANO"),CS16,IF(AND(I36&lt;&gt;16,I38=8,CX40&gt;0,I48="ANO"),CS17,IF(AND(I36=16,I38=8,CX40&gt;0,I48="ANO"),CS16,""))))</f>
        <v/>
      </c>
      <c r="I105" s="358"/>
      <c r="J105" s="111" t="str">
        <f>IF(O104="","",O104)</f>
        <v/>
      </c>
      <c r="K105" s="91" t="str">
        <f t="shared" ref="K105:K110" si="127">IF(AND(J105="",L105=""),"",":")</f>
        <v/>
      </c>
      <c r="L105" s="112" t="str">
        <f>IF(M104="","",M104)</f>
        <v/>
      </c>
      <c r="M105" s="87"/>
      <c r="N105" s="88"/>
      <c r="O105" s="89"/>
      <c r="P105" s="90"/>
      <c r="Q105" s="91" t="str">
        <f t="shared" si="109"/>
        <v/>
      </c>
      <c r="R105" s="92"/>
      <c r="S105" s="90"/>
      <c r="T105" s="91" t="str">
        <f>IF(AND(S105="",U105=""),"",":")</f>
        <v/>
      </c>
      <c r="U105" s="92"/>
      <c r="V105" s="90"/>
      <c r="W105" s="91" t="str">
        <f>IF(AND(V105="",X105=""),"",":")</f>
        <v/>
      </c>
      <c r="X105" s="92"/>
      <c r="Y105" s="90"/>
      <c r="Z105" s="91" t="str">
        <f>IF(AND(Y105="",AA105=""),"",":")</f>
        <v/>
      </c>
      <c r="AA105" s="92"/>
      <c r="AB105" s="90"/>
      <c r="AC105" s="91" t="str">
        <f t="shared" si="110"/>
        <v/>
      </c>
      <c r="AD105" s="92"/>
      <c r="AE105" s="359" t="s">
        <v>284</v>
      </c>
      <c r="AF105" s="354"/>
      <c r="AG105" s="355"/>
      <c r="AH105" s="93">
        <f>IF(M104&lt;O104,1)+IF(P105&gt;R105,1)+IF(S105&gt;U105,1)+IF(V105&gt;X105,1)+IF(Y105&gt;AA105,1)+IF(AB105&gt;AD105,1)</f>
        <v>0</v>
      </c>
      <c r="AI105" s="94" t="s">
        <v>197</v>
      </c>
      <c r="AJ105" s="95">
        <f>O104+P105+S105+V105+Y105+AB105</f>
        <v>0</v>
      </c>
      <c r="AK105" s="96" t="str">
        <f t="shared" ref="AK105:AK110" si="128">IF(AND(AJ105="",AL105=""),"",":")</f>
        <v>:</v>
      </c>
      <c r="AL105" s="97">
        <f>M104+R105+U105+X105+AA105+AD105</f>
        <v>0</v>
      </c>
      <c r="AM105" s="98" t="str">
        <f t="shared" si="111"/>
        <v>1.</v>
      </c>
      <c r="AN105" s="99" t="str">
        <f t="shared" si="112"/>
        <v>0 b</v>
      </c>
      <c r="AO105" s="100" t="str">
        <f t="shared" si="113"/>
        <v>(0:0)</v>
      </c>
      <c r="AP105" s="101" t="str">
        <f t="shared" si="114"/>
        <v/>
      </c>
      <c r="AQ105" s="102"/>
      <c r="AR105" s="103" t="str">
        <f t="shared" si="115"/>
        <v>1.</v>
      </c>
      <c r="AS105" s="102"/>
      <c r="AT105" s="104"/>
      <c r="AU105" s="104">
        <f t="shared" si="116"/>
        <v>0</v>
      </c>
      <c r="AV105" s="104">
        <f t="shared" si="117"/>
        <v>1</v>
      </c>
      <c r="AW105" s="106">
        <f>IF(AV104=AV105,O104,"")</f>
        <v>0</v>
      </c>
      <c r="AX105" s="105"/>
      <c r="AY105" s="105">
        <f>IF(AV105=AV106,P105,"")</f>
        <v>0</v>
      </c>
      <c r="AZ105" s="105">
        <f>IF(AV105=AV107,S105,"")</f>
        <v>0</v>
      </c>
      <c r="BA105" s="105">
        <f>IF(AV105=AV108,V105,"")</f>
        <v>0</v>
      </c>
      <c r="BB105" s="105">
        <f>IF(AV105=AV109,Y105,"")</f>
        <v>0</v>
      </c>
      <c r="BC105" s="105">
        <f>IF(AV105=AV110,AB105,"")</f>
        <v>0</v>
      </c>
      <c r="BD105" s="105">
        <f t="shared" si="118"/>
        <v>0</v>
      </c>
      <c r="BE105" s="105">
        <f t="shared" si="119"/>
        <v>0</v>
      </c>
      <c r="BF105" s="105"/>
      <c r="BG105" s="104">
        <f t="shared" si="120"/>
        <v>1</v>
      </c>
      <c r="BH105" s="105">
        <f>IF(AV104=AV105,M104,"")</f>
        <v>0</v>
      </c>
      <c r="BI105" s="105"/>
      <c r="BJ105" s="105">
        <f>IF(AV105=AV106,R105,"")</f>
        <v>0</v>
      </c>
      <c r="BK105" s="105">
        <f>IF(AV105=AV107,U105,"")</f>
        <v>0</v>
      </c>
      <c r="BL105" s="105">
        <f>IF(AV105=AV108,X105,"")</f>
        <v>0</v>
      </c>
      <c r="BM105" s="105">
        <f>IF(AV105=AV109,AA105,"")</f>
        <v>0</v>
      </c>
      <c r="BN105" s="105">
        <f>IF(AV105=AV110,AD105,"")</f>
        <v>0</v>
      </c>
      <c r="BO105" s="105">
        <f t="shared" si="121"/>
        <v>0</v>
      </c>
      <c r="BQ105" s="10" t="b">
        <f t="shared" si="122"/>
        <v>0</v>
      </c>
      <c r="BR105" s="10">
        <f t="shared" ref="BR105:BR110" si="129">AH105*(BD105*100+AH105+BO105*3.14+AU105*22)*10</f>
        <v>0</v>
      </c>
      <c r="BS105" s="10" t="b">
        <f t="shared" si="123"/>
        <v>1</v>
      </c>
      <c r="BT105" s="10">
        <f>IF(BT104&gt;=2,1,0)</f>
        <v>0</v>
      </c>
      <c r="BU105" s="10">
        <f>IF(BU104&gt;=2,1,0)</f>
        <v>0</v>
      </c>
      <c r="BV105" s="10">
        <f>IF(BV104&gt;=2,1,0)</f>
        <v>0</v>
      </c>
      <c r="BW105" s="10">
        <f>IF(BW104&gt;=2,1,0)</f>
        <v>0</v>
      </c>
      <c r="BX105" s="10">
        <f>IF(BX104&gt;=2,1,0)</f>
        <v>0</v>
      </c>
      <c r="BY105" s="10"/>
      <c r="BZ105" s="10" t="str">
        <f t="shared" si="124"/>
        <v/>
      </c>
      <c r="CA105" s="107"/>
      <c r="CB105" s="104">
        <f t="shared" si="125"/>
        <v>1</v>
      </c>
      <c r="CC105" s="106"/>
      <c r="CD105" s="105"/>
      <c r="CE105" s="106">
        <f>IF(CB105=CB106,1,"")</f>
        <v>1</v>
      </c>
      <c r="CF105" s="106">
        <f>IF(CB105=CB107,1,"")</f>
        <v>1</v>
      </c>
      <c r="CG105" s="106">
        <f>IF(CB105=CB108,1,"")</f>
        <v>1</v>
      </c>
      <c r="CH105" s="106">
        <f>IF(CB105=CB109,1,"")</f>
        <v>1</v>
      </c>
      <c r="CI105" s="106">
        <f>IF(CB105=CB110,1,"")</f>
        <v>1</v>
      </c>
      <c r="CJ105" s="105">
        <f t="shared" si="126"/>
        <v>5</v>
      </c>
      <c r="CK105" s="107"/>
      <c r="CY105" s="109" t="str">
        <f t="shared" ref="CY105:CY110" si="130">AM105</f>
        <v>1.</v>
      </c>
      <c r="CZ105" s="110" t="str">
        <f t="shared" ref="CZ105:CZ110" si="131">H105</f>
        <v/>
      </c>
      <c r="DA105" s="110"/>
      <c r="DB105" s="44" t="str">
        <f t="shared" ref="DB105:DB110" si="132">IF(DE105&gt;0,VLOOKUP(DC105,$CY$104:$CZ$110,2,0),"")</f>
        <v/>
      </c>
      <c r="DC105" s="27" t="s">
        <v>202</v>
      </c>
      <c r="DE105" s="44">
        <f t="shared" ref="DE105:DE110" si="133">IF(CZ105="",0,5)</f>
        <v>0</v>
      </c>
    </row>
    <row r="106" spans="2:113" ht="30" customHeight="1" x14ac:dyDescent="0.55000000000000004">
      <c r="D106" s="85" t="str">
        <f>IF(B104=5,$DC$10,IF(B104=6,$DD$10,IF(B104=7,$DE$10,"")))</f>
        <v/>
      </c>
      <c r="E106" s="85" t="str">
        <f>IF(B104=5,$DC$11,IF(B104=6,$DD$11,IF(B104=7,$DE$11,"")))</f>
        <v/>
      </c>
      <c r="F106" s="85" t="str">
        <f>IF(B104=5,$DC$12,IF(B104=6,$DD$12,IF(B104=7,$DE$12,"")))</f>
        <v/>
      </c>
      <c r="G106" s="86" t="s">
        <v>36</v>
      </c>
      <c r="H106" s="358" t="str">
        <f>IF(AND(I38=6,CX40&gt;0,I48="ANO"),CS21,IF(AND(I38=8,CX40&gt;0,I48="ANO"),CS25,""))</f>
        <v/>
      </c>
      <c r="I106" s="358"/>
      <c r="J106" s="111" t="str">
        <f>IF(R104="","",R104)</f>
        <v/>
      </c>
      <c r="K106" s="91" t="str">
        <f t="shared" si="127"/>
        <v/>
      </c>
      <c r="L106" s="112" t="str">
        <f>IF(P104="","",P104)</f>
        <v/>
      </c>
      <c r="M106" s="111" t="str">
        <f>IF(R105="","",R105)</f>
        <v/>
      </c>
      <c r="N106" s="91" t="str">
        <f>IF(AND(M106="",O106=""),"",":")</f>
        <v/>
      </c>
      <c r="O106" s="112" t="str">
        <f>IF(P105="","",P105)</f>
        <v/>
      </c>
      <c r="P106" s="87"/>
      <c r="Q106" s="88"/>
      <c r="R106" s="89"/>
      <c r="S106" s="90"/>
      <c r="T106" s="91" t="str">
        <f>IF(AND(S106="",U106=""),"",":")</f>
        <v/>
      </c>
      <c r="U106" s="92"/>
      <c r="V106" s="90"/>
      <c r="W106" s="91" t="str">
        <f>IF(AND(V106="",X106=""),"",":")</f>
        <v/>
      </c>
      <c r="X106" s="92"/>
      <c r="Y106" s="90"/>
      <c r="Z106" s="91" t="str">
        <f>IF(AND(Y106="",AA106=""),"",":")</f>
        <v/>
      </c>
      <c r="AA106" s="92"/>
      <c r="AB106" s="90"/>
      <c r="AC106" s="91" t="str">
        <f t="shared" si="110"/>
        <v/>
      </c>
      <c r="AD106" s="92"/>
      <c r="AE106" s="359" t="s">
        <v>285</v>
      </c>
      <c r="AF106" s="354"/>
      <c r="AG106" s="355"/>
      <c r="AH106" s="93">
        <f>IF(R104&gt;P104,1)+IF(R105&gt;P105,1)+IF(S106&gt;U106,1)+IF(V106&gt;X106,1)+IF(Y106&gt;AA106,1)+IF(AB106&gt;AD106,1)</f>
        <v>0</v>
      </c>
      <c r="AI106" s="94" t="s">
        <v>197</v>
      </c>
      <c r="AJ106" s="95">
        <f>R104+R105+S106+V106+Y106+AB106</f>
        <v>0</v>
      </c>
      <c r="AK106" s="96" t="str">
        <f t="shared" si="128"/>
        <v>:</v>
      </c>
      <c r="AL106" s="97">
        <f>P104+P105+U106+X106+AA106+AD106</f>
        <v>0</v>
      </c>
      <c r="AM106" s="98" t="str">
        <f t="shared" si="111"/>
        <v>1.</v>
      </c>
      <c r="AN106" s="99" t="str">
        <f t="shared" si="112"/>
        <v>0 b</v>
      </c>
      <c r="AO106" s="100" t="str">
        <f t="shared" si="113"/>
        <v>(0:0)</v>
      </c>
      <c r="AP106" s="101" t="str">
        <f t="shared" si="114"/>
        <v/>
      </c>
      <c r="AQ106" s="102"/>
      <c r="AR106" s="103" t="str">
        <f t="shared" si="115"/>
        <v>1.</v>
      </c>
      <c r="AS106" s="102"/>
      <c r="AT106" s="104"/>
      <c r="AU106" s="104">
        <f t="shared" si="116"/>
        <v>0</v>
      </c>
      <c r="AV106" s="104">
        <f t="shared" si="117"/>
        <v>1</v>
      </c>
      <c r="AW106" s="106">
        <f>IF(AV104=AV106,R104,"")</f>
        <v>0</v>
      </c>
      <c r="AX106" s="105">
        <f>IF(AV105=AV106,R105,"")</f>
        <v>0</v>
      </c>
      <c r="AY106" s="105"/>
      <c r="AZ106" s="105">
        <f>IF(AV106=AV107,S106,"")</f>
        <v>0</v>
      </c>
      <c r="BA106" s="105">
        <f>IF(AV106=AV108,V106,"")</f>
        <v>0</v>
      </c>
      <c r="BB106" s="105">
        <f>IF(AV106=AV109,Y106,"")</f>
        <v>0</v>
      </c>
      <c r="BC106" s="105">
        <f>IF(AV106=AV110,AB106,"")</f>
        <v>0</v>
      </c>
      <c r="BD106" s="105">
        <f t="shared" si="118"/>
        <v>0</v>
      </c>
      <c r="BE106" s="105">
        <f t="shared" si="119"/>
        <v>0</v>
      </c>
      <c r="BF106" s="105"/>
      <c r="BG106" s="104">
        <f t="shared" si="120"/>
        <v>1</v>
      </c>
      <c r="BH106" s="105">
        <f>IF(AV104=AV106,P104,"")</f>
        <v>0</v>
      </c>
      <c r="BI106" s="105">
        <f>IF(AV105=AV106,P105,"")</f>
        <v>0</v>
      </c>
      <c r="BJ106" s="105"/>
      <c r="BK106" s="105">
        <f>IF(AV106=AV107,U106,"")</f>
        <v>0</v>
      </c>
      <c r="BL106" s="105">
        <f>IF(AV106=AV108,X106,"")</f>
        <v>0</v>
      </c>
      <c r="BM106" s="105">
        <f>IF(AV106=AV109,AA106,"")</f>
        <v>0</v>
      </c>
      <c r="BN106" s="105">
        <f>IF(AV106=AV110,AD106,"")</f>
        <v>0</v>
      </c>
      <c r="BO106" s="105">
        <f t="shared" si="121"/>
        <v>0</v>
      </c>
      <c r="BQ106" s="10" t="b">
        <f t="shared" si="122"/>
        <v>0</v>
      </c>
      <c r="BR106" s="10">
        <f t="shared" si="129"/>
        <v>0</v>
      </c>
      <c r="BS106" s="10" t="b">
        <f t="shared" si="123"/>
        <v>1</v>
      </c>
      <c r="BT106" s="10">
        <v>1</v>
      </c>
      <c r="BU106" s="10">
        <v>2</v>
      </c>
      <c r="BV106" s="10">
        <v>3</v>
      </c>
      <c r="BW106" s="10">
        <v>4</v>
      </c>
      <c r="BX106" s="10">
        <v>5</v>
      </c>
      <c r="BY106" s="10"/>
      <c r="BZ106" s="10" t="str">
        <f t="shared" si="124"/>
        <v/>
      </c>
      <c r="CA106" s="107"/>
      <c r="CB106" s="104">
        <f t="shared" si="125"/>
        <v>1</v>
      </c>
      <c r="CC106" s="106"/>
      <c r="CD106" s="105"/>
      <c r="CE106" s="105"/>
      <c r="CF106" s="106">
        <f>IF(CB106=CB107,1,"")</f>
        <v>1</v>
      </c>
      <c r="CG106" s="106">
        <f>IF(CB106=CB108,1,"")</f>
        <v>1</v>
      </c>
      <c r="CH106" s="106">
        <f>IF(CB106=CB109,1,"")</f>
        <v>1</v>
      </c>
      <c r="CI106" s="106">
        <f>IF(CB106=CB110,1,"")</f>
        <v>1</v>
      </c>
      <c r="CJ106" s="105">
        <f t="shared" si="126"/>
        <v>4</v>
      </c>
      <c r="CK106" s="107"/>
      <c r="CY106" s="109" t="str">
        <f t="shared" si="130"/>
        <v>1.</v>
      </c>
      <c r="CZ106" s="110" t="str">
        <f t="shared" si="131"/>
        <v/>
      </c>
      <c r="DA106" s="110"/>
      <c r="DB106" s="44" t="str">
        <f t="shared" si="132"/>
        <v/>
      </c>
      <c r="DC106" s="27" t="s">
        <v>203</v>
      </c>
      <c r="DE106" s="44">
        <f t="shared" si="133"/>
        <v>0</v>
      </c>
    </row>
    <row r="107" spans="2:113" ht="30" customHeight="1" x14ac:dyDescent="0.55000000000000004">
      <c r="D107" s="85" t="str">
        <f>IF(B104=5,$DC$13,IF(B104=6,$DD$13,IF(B104=7,$DE$13,"")))</f>
        <v/>
      </c>
      <c r="E107" s="85" t="str">
        <f>IF(B104=6,$DD$14,IF(B104=7,$DE$14,""))</f>
        <v/>
      </c>
      <c r="F107" s="85" t="str">
        <f>IF(B104=6,$DD$15,IF(B104=7,$DE$15,""))</f>
        <v/>
      </c>
      <c r="G107" s="86" t="s">
        <v>4</v>
      </c>
      <c r="H107" s="358" t="str">
        <f>IF(AND(I38=6,CV40&lt;4,CV42&lt;4,CV44&lt;4,CV46&lt;4,CX40&gt;3,I48="ANO"),CS23,IF(AND(I38=6,CV40&gt;3,CV42&lt;4,CV44&lt;4,CV46&lt;4,CX40&gt;3,I48="ANO"),CS24,IF(AND(I38=6,CV40&lt;4,CV42&gt;3,CV44&lt;4,CV46&lt;4,CX40&gt;3,I48="ANO"),CS24,IF(AND(I38=6,CV40&lt;4,CV42&lt;4,CV44&gt;3,CV46&lt;4,CX40&gt;3,I48="ANO"),CS24,IF(AND(I38=6,CV40&lt;4,CV42&lt;4,CV44&lt;4,CV46&gt;3,CX40&gt;3,I48="ANO"),CS24,IF(AND(I38=6,CV40&gt;3,CV42&gt;3,CV44&lt;4,CV46&lt;4,CX40&gt;3,I48="ANO"),CS25,IF(AND(I38=6,CV40&gt;3,CV42&lt;4,CV44&gt;3,CV46&lt;4,CX40&gt;3,I48="ANO"),CS25,IF(AND(I38=6,CV40&gt;3,CV42&lt;4,CV44&lt;4,CV46&gt;3,CX40&gt;3,I48="ANO"),CS25,IF(AND(I38=6,CV40&lt;4,CV42&gt;3,CV44&gt;3,CV46&lt;4,CX40&gt;3,I48="ANO"),CS25,IF(AND(I38=6,CV40&lt;4,CV42&gt;3,CV44&lt;4,CV46&gt;3,CX40&gt;3,I48="ANO"),CS25,IF(AND(I38=6,CV40&lt;4,CV42&lt;4,CV44&gt;3,CV46&gt;3,CX40&gt;3,I48="ANO"),CS25,IF(AND(I38=6,CV40&gt;3,CV42&gt;3,CV44&gt;3,CV46&lt;4,CX40&gt;3,I48="ANO"),CS26,IF(AND(I38=6,CV40&gt;3,CV42&gt;3,CV44&lt;4,CV46&gt;3,CX40&gt;3,I48="ANO"),CS26,IF(AND(I38=6,CV40&gt;3,CV42&lt;4,CV44&gt;3,CV46&gt;3,CX40&gt;3,I48="ANO"),CS26,IF(AND(I38=6,CV40&lt;4,CV42&gt;3,CV44&gt;3,CV46&gt;3,CX40&gt;3,I48="ANO"),CS26,IF(AND(I38=6,CV40&gt;3,CV42&gt;3,CV44&gt;3,CV46&gt;3,CX40&gt;3,I48="ANO"),CS27,IF(AND(I38=8,CV40&lt;4,CV42&lt;4,CV44&lt;4,CV46&lt;4,CX40&gt;3,I48="ANO"),CS29,IF(AND(I38=8,CV40&gt;3,CV42&lt;4,CV44&lt;4,CV46&lt;4,CX40&gt;3,I48="ANO"),CS30,IF(AND(I38=8,CV40&lt;4,CV42&gt;3,CV44&lt;4,CV46&lt;4,CX40&gt;3,I48="ANO"),CS30,IF(AND(I38=8,CV40&lt;4,CV42&lt;4,CV44&gt;3,CV46&lt;4,CX40&gt;3,I48="ANO"),CS30,IF(AND(I38=8,CV40&lt;4,CV42&lt;4,CV44&lt;4,CV46&gt;3,CX40&gt;3,I48="ANO"),CS30,IF(AND(I38=8,CV40&gt;3,CV42&gt;3,CV44&lt;4,CV46&lt;4,CX40&gt;3,I48="ANO"),CS31,IF(AND(I38=8,CV40&gt;3,CV42&lt;4,CV44&gt;3,CV46&lt;4,CX40&gt;3,I48="ANO"),CS31,IF(AND(I38=8,CV40&gt;3,CV42&lt;4,CV44&lt;4,CV46&gt;3,CX40&gt;3,I48="ANO"),CS31,IF(AND(I38=8,CV40&lt;4,CV42&gt;3,CV44&gt;3,CV46&lt;4,CX40&gt;3,I48="ANO"),CS31,IF(AND(I38=8,CV40&lt;4,CV42&gt;3,CV44&lt;4,CV46&gt;3,CX40&gt;3,I48="ANO"),CS31,IF(AND(I38=8,CV40&lt;4,CV42&lt;4,CV44&gt;3,CV46&gt;3,CX40&gt;3,I48="ANO"),CS31,IF(AND(I38=8,CV40&gt;3,CV42&gt;3,CV44&gt;3,CV46&lt;4,CX40&gt;3,I48="ANO"),CS32,IF(AND(I38=8,CV40&gt;3,CV42&gt;3,CV44&lt;4,CV46&gt;3,CX40&gt;3,I48="ANO"),CS32,IF(AND(I38=8,CV40&gt;3,CV42&lt;4,CV44&gt;3,CV46&gt;3,CX40&gt;3,I48="ANO"),CS32,IF(AND(I38=8,CV40&lt;4,CV42&gt;3,CV44&gt;3,CV46&gt;3,CX40&gt;3,I48="ANO"),CS32,IF(AND(I38=8,CV40&gt;3,CV42&gt;3,CV44&gt;3,CV46&gt;3,CX40&gt;3,I48="ANO"),CS33,""))))))))))))))))))))))))))))))))</f>
        <v/>
      </c>
      <c r="I107" s="358"/>
      <c r="J107" s="111" t="str">
        <f>IF(U104="","",U104)</f>
        <v/>
      </c>
      <c r="K107" s="91" t="str">
        <f t="shared" si="127"/>
        <v/>
      </c>
      <c r="L107" s="112" t="str">
        <f>IF(S104="","",S104)</f>
        <v/>
      </c>
      <c r="M107" s="111" t="str">
        <f>IF(U105="","",U105)</f>
        <v/>
      </c>
      <c r="N107" s="91" t="str">
        <f>IF(AND(M107="",O107=""),"",":")</f>
        <v/>
      </c>
      <c r="O107" s="112" t="str">
        <f>IF(S105="","",S105)</f>
        <v/>
      </c>
      <c r="P107" s="111" t="str">
        <f>IF(U106="","",U106)</f>
        <v/>
      </c>
      <c r="Q107" s="91" t="str">
        <f t="shared" si="109"/>
        <v/>
      </c>
      <c r="R107" s="112" t="str">
        <f>IF(S106="","",S106)</f>
        <v/>
      </c>
      <c r="S107" s="87"/>
      <c r="T107" s="88"/>
      <c r="U107" s="89"/>
      <c r="V107" s="90"/>
      <c r="W107" s="91" t="str">
        <f>IF(AND(V107="",X107=""),"",":")</f>
        <v/>
      </c>
      <c r="X107" s="92"/>
      <c r="Y107" s="90"/>
      <c r="Z107" s="91" t="str">
        <f>IF(AND(Y107="",AA107=""),"",":")</f>
        <v/>
      </c>
      <c r="AA107" s="92"/>
      <c r="AB107" s="90"/>
      <c r="AC107" s="91" t="str">
        <f t="shared" si="110"/>
        <v/>
      </c>
      <c r="AD107" s="92"/>
      <c r="AE107" s="353" t="s">
        <v>281</v>
      </c>
      <c r="AF107" s="354"/>
      <c r="AG107" s="355"/>
      <c r="AH107" s="93">
        <f>IF(U104&gt;S104,1)+IF(U105&gt;S105,1)+IF(U106&gt;S106,1)+IF(V107&gt;X107,1)+IF(Y107&gt;AA107,1)+IF(AB107&gt;AD107,1)</f>
        <v>0</v>
      </c>
      <c r="AI107" s="94" t="s">
        <v>197</v>
      </c>
      <c r="AJ107" s="95">
        <f>U104+U105+U106+V107+Y107+AB107</f>
        <v>0</v>
      </c>
      <c r="AK107" s="96" t="str">
        <f t="shared" si="128"/>
        <v>:</v>
      </c>
      <c r="AL107" s="97">
        <f>S104+S105+S106+X107+AA107+AD107</f>
        <v>0</v>
      </c>
      <c r="AM107" s="98" t="str">
        <f t="shared" si="111"/>
        <v>1.</v>
      </c>
      <c r="AN107" s="99" t="str">
        <f t="shared" si="112"/>
        <v>0 b</v>
      </c>
      <c r="AO107" s="100" t="str">
        <f t="shared" si="113"/>
        <v>(0:0)</v>
      </c>
      <c r="AP107" s="101" t="str">
        <f t="shared" si="114"/>
        <v/>
      </c>
      <c r="AQ107" s="102"/>
      <c r="AR107" s="103" t="str">
        <f t="shared" si="115"/>
        <v>1.</v>
      </c>
      <c r="AS107" s="102"/>
      <c r="AT107" s="104"/>
      <c r="AU107" s="104">
        <f t="shared" si="116"/>
        <v>0</v>
      </c>
      <c r="AV107" s="104">
        <f t="shared" si="117"/>
        <v>1</v>
      </c>
      <c r="AW107" s="106">
        <f>IF(AV104=AV107,U104,"")</f>
        <v>0</v>
      </c>
      <c r="AX107" s="105">
        <f>IF(AV105=AV107,U105,"")</f>
        <v>0</v>
      </c>
      <c r="AY107" s="105">
        <f>IF(AV106=AV107,U106,"")</f>
        <v>0</v>
      </c>
      <c r="AZ107" s="105"/>
      <c r="BA107" s="105">
        <f>IF(AV107=AV108,V107,"")</f>
        <v>0</v>
      </c>
      <c r="BB107" s="105">
        <f>IF(AV107=AV109,Y107,"")</f>
        <v>0</v>
      </c>
      <c r="BC107" s="105">
        <f>IF(AV107=AV110,AB107,"")</f>
        <v>0</v>
      </c>
      <c r="BD107" s="105">
        <f t="shared" si="118"/>
        <v>0</v>
      </c>
      <c r="BE107" s="105">
        <f t="shared" si="119"/>
        <v>0</v>
      </c>
      <c r="BF107" s="105"/>
      <c r="BG107" s="104">
        <f t="shared" si="120"/>
        <v>1</v>
      </c>
      <c r="BH107" s="105">
        <f>IF(AV104=AV107,S104,"")</f>
        <v>0</v>
      </c>
      <c r="BI107" s="105">
        <f>IF(AV105=AV107,S105,"")</f>
        <v>0</v>
      </c>
      <c r="BJ107" s="105">
        <f>IF(AV106=AV107,S106,"")</f>
        <v>0</v>
      </c>
      <c r="BK107" s="105"/>
      <c r="BL107" s="105">
        <f>IF(AV107=AV108,X107,"")</f>
        <v>0</v>
      </c>
      <c r="BM107" s="105">
        <f>IF(AV107=AV109,AA107,"")</f>
        <v>0</v>
      </c>
      <c r="BN107" s="105">
        <f>IF(AV107=AV110,AD107,"")</f>
        <v>0</v>
      </c>
      <c r="BO107" s="105">
        <f t="shared" si="121"/>
        <v>0</v>
      </c>
      <c r="BQ107" s="10" t="b">
        <f t="shared" si="122"/>
        <v>0</v>
      </c>
      <c r="BR107" s="10">
        <f t="shared" si="129"/>
        <v>0</v>
      </c>
      <c r="BS107" s="10" t="b">
        <f t="shared" si="123"/>
        <v>1</v>
      </c>
      <c r="BT107" s="10">
        <f>BT105*BT106</f>
        <v>0</v>
      </c>
      <c r="BU107" s="10">
        <f>BU105*BU106</f>
        <v>0</v>
      </c>
      <c r="BV107" s="10">
        <f>BV105*BV106</f>
        <v>0</v>
      </c>
      <c r="BW107" s="10">
        <f>BW105*BW106</f>
        <v>0</v>
      </c>
      <c r="BX107" s="10">
        <f>BX105*BX106</f>
        <v>0</v>
      </c>
      <c r="BY107" s="10"/>
      <c r="BZ107" s="10" t="str">
        <f t="shared" si="124"/>
        <v/>
      </c>
      <c r="CA107" s="107"/>
      <c r="CB107" s="104">
        <f t="shared" si="125"/>
        <v>1</v>
      </c>
      <c r="CC107" s="106"/>
      <c r="CD107" s="105"/>
      <c r="CE107" s="105"/>
      <c r="CF107" s="105"/>
      <c r="CG107" s="106">
        <f>IF(CB107=CB108,1,"")</f>
        <v>1</v>
      </c>
      <c r="CH107" s="106">
        <f>IF(CB107=CB109,1,"")</f>
        <v>1</v>
      </c>
      <c r="CI107" s="106">
        <f>IF(CB107=CB110,1,"")</f>
        <v>1</v>
      </c>
      <c r="CJ107" s="105">
        <f t="shared" si="126"/>
        <v>3</v>
      </c>
      <c r="CK107" s="107"/>
      <c r="CY107" s="109" t="str">
        <f t="shared" si="130"/>
        <v>1.</v>
      </c>
      <c r="CZ107" s="110" t="str">
        <f t="shared" si="131"/>
        <v/>
      </c>
      <c r="DA107" s="110"/>
      <c r="DB107" s="44" t="str">
        <f t="shared" si="132"/>
        <v/>
      </c>
      <c r="DC107" s="27" t="s">
        <v>204</v>
      </c>
      <c r="DE107" s="44">
        <f t="shared" si="133"/>
        <v>0</v>
      </c>
      <c r="DF107" s="44">
        <f>IF($CZ$107="",0,5)</f>
        <v>0</v>
      </c>
      <c r="DG107" s="44">
        <f>IF($CZ$107="",0,5)</f>
        <v>0</v>
      </c>
      <c r="DH107" s="44">
        <f>IF($CZ$107="",0,5)</f>
        <v>0</v>
      </c>
      <c r="DI107" s="44">
        <f>IF($CZ$107="",0,5)</f>
        <v>0</v>
      </c>
    </row>
    <row r="108" spans="2:113" ht="30" customHeight="1" x14ac:dyDescent="0.55000000000000004">
      <c r="D108" s="85" t="str">
        <f>IF(B104=6,$DD$16,IF(B104=7,$DE$16,""))</f>
        <v/>
      </c>
      <c r="E108" s="85" t="str">
        <f>IF(B104=6,$DD$17,IF(B104=7,$DE$17,""))</f>
        <v/>
      </c>
      <c r="F108" s="85" t="str">
        <f>IF(B104=6,$DD$18,IF(B104=7,$DE$18,""))</f>
        <v/>
      </c>
      <c r="G108" s="86" t="s">
        <v>5</v>
      </c>
      <c r="H108" s="358" t="str">
        <f>IF(AND(I38=6,CV40&lt;5,CV42&lt;5,CV44&lt;5,CV46&lt;5,CX40&gt;4,I48="ANO"),CS29,IF(AND(I38=6,CV40&gt;4,CV42&lt;5,CV44&lt;5,CV46&lt;5,CX40&gt;4,I48="ANO"),CS30,IF(AND(I38=6,CV40&lt;5,CV42&gt;4,CV44&lt;5,CV46&lt;5,CX40&gt;4,I48="ANO"),CS30,IF(AND(I38=6,CV40&lt;5,CV42&lt;5,CV44&gt;4,CV46&lt;5,CX40&gt;4,I48="ANO"),CS30,IF(AND(I38=6,CV40&lt;5,CV42&lt;5,CV44&lt;5,CV46&gt;4,CX40&gt;4,I48="ANO"),CS30,IF(AND(I38=6,CV40&gt;4,CV42&gt;4,CV44&lt;5,CV46&lt;5,CX40&gt;4,I48="ANO"),CS31,IF(AND(I38=6,CV40&gt;4,CV42&lt;5,CV44&gt;4,CV46&lt;5,CX40&gt;4,I48="ANO"),CS31,IF(AND(I38=6,CV40&gt;4,CV42&lt;5,CV44&lt;5,CV46&gt;4,CX40&gt;4,I48="ANO"),CS31,IF(AND(I38=6,CV40&lt;5,CV42&gt;4,CV44&gt;4,CV46&lt;5,CX40&gt;4,I48="ANO"),CS31,IF(AND(I38=6,CV40&lt;5,CV42&gt;4,CV44&lt;5,CV46&gt;4,CX40&gt;4,I48="ANO"),CS31,IF(AND(I38=6,CV40&lt;5,CV42&lt;5,CV44&gt;4,CV46&gt;4,CX40&gt;4,I48="ANO"),CS31,IF(AND(I38=6,CV40&gt;4,CV42&gt;4,CV44&gt;4,CV46&lt;5,CX40&gt;4,I48="ANO"),CS32,IF(AND(I38=6,CV40&gt;4,CV42&gt;4,CV44&lt;5,CV46&gt;4,CX40&gt;3,I48="ANO"),CS32,IF(AND(I38=6,CV40&gt;4,CV42&lt;5,CV44&gt;4,CV46&gt;4,CX40&gt;4,I48="ANO"),CS32,IF(AND(I38=6,CV40&lt;5,CV42&gt;4,CV44&gt;4,CV46&gt;4,CX40&gt;4,I48="ANO"),CS32,IF(AND(I38=6,CV40&gt;4,CV42&gt;4,CV44&gt;4,CV46&gt;4,CX40&gt;4,I48="ANO"),CS33,IF(AND(I38=8,CV40&lt;5,CV42&lt;5,CV44&lt;5,CV46&lt;5,CX40&gt;4,I48="ANO"),CS37,IF(AND(I38=8,CV40&gt;4,CV42&lt;5,CV44&lt;5,CV46&lt;5,CX40&gt;4,I48="ANO"),CS38,IF(AND(I38=8,CV40&lt;5,CV42&gt;4,CV44&lt;5,CV46&lt;5,CX40&gt;4,I48="ANO"),CS38,IF(AND(I38=8,CV40&lt;5,CV42&lt;5,CV44&gt;4,CV46&lt;5,CX40&gt;4,I48="ANO"),CS38,IF(AND(I38=8,CV40&lt;5,CV42&lt;5,CV44&lt;5,CV46&gt;4,CX40&gt;4,I48="ANO"),CS38,IF(AND(I38=8,CV40&gt;4,CV42&gt;4,CV44&lt;5,CV46&lt;5,CX40&gt;4,I48="ANO"),CS39,IF(AND(I38=8,CV40&gt;4,CV42&lt;5,CV44&gt;4,CV46&lt;5,CX40&gt;4,I48="ANO"),CS39,IF(AND(I38=8,CV40&gt;4,CV42&lt;5,CV44&lt;5,CV46&gt;4,CX40&gt;4,I48="ANO"),CS39,IF(AND(I38=8,CV40&lt;5,CV42&gt;4,CV44&gt;4,CV46&lt;5,CX40&gt;4,I48="ANO"),CS39,IF(AND(I38=8,CV40&lt;5,CV42&gt;4,CV44&lt;5,CV46&gt;4,CX40&gt;4,I48="ANO"),CS39,IF(AND(I38=8,CV40&lt;5,CV42&lt;5,CV44&gt;4,CV46&gt;4,CX40&gt;4,I48="ANO"),CS39,IF(AND(I38=8,CV40&gt;4,CV42&gt;4,CV44&gt;4,CV46&lt;5,CX40&gt;4,I48="ANO"),CS40,IF(AND(I38=8,CV40&gt;4,CV42&gt;4,CV44&lt;5,CV46&gt;4,CX40&gt;3,I48="ANO"),CS40,IF(AND(I38=8,CV40&gt;4,CV42&lt;5,CV44&gt;4,CV46&gt;4,CX40&gt;4,I48="ANO"),CS40,IF(AND(I38=8,CV40&lt;5,CV42&gt;4,CV44&gt;4,CV46&gt;4,CX40&gt;4,I48="ANO"),CS40,IF(AND(I38=8,CV40&gt;4,CV42&gt;4,CV44&gt;4,CV46&gt;4,CX40&gt;4,I48="ANO"),CS41,""))))))))))))))))))))))))))))))))</f>
        <v/>
      </c>
      <c r="I108" s="358"/>
      <c r="J108" s="111" t="str">
        <f>IF(X104="","",X104)</f>
        <v/>
      </c>
      <c r="K108" s="91" t="str">
        <f t="shared" si="127"/>
        <v/>
      </c>
      <c r="L108" s="112" t="str">
        <f>IF(V104="","",V104)</f>
        <v/>
      </c>
      <c r="M108" s="111" t="str">
        <f>IF(X105="","",X105)</f>
        <v/>
      </c>
      <c r="N108" s="91" t="str">
        <f>IF(AND(M108="",O108=""),"",":")</f>
        <v/>
      </c>
      <c r="O108" s="112" t="str">
        <f>IF(V105="","",V105)</f>
        <v/>
      </c>
      <c r="P108" s="111" t="str">
        <f>IF(X106="","",X106)</f>
        <v/>
      </c>
      <c r="Q108" s="91" t="str">
        <f t="shared" si="109"/>
        <v/>
      </c>
      <c r="R108" s="112" t="str">
        <f>IF(V106="","",V106)</f>
        <v/>
      </c>
      <c r="S108" s="111" t="str">
        <f>IF(X107="","",X107)</f>
        <v/>
      </c>
      <c r="T108" s="91" t="str">
        <f>IF(AND(S108="",U108=""),"",":")</f>
        <v/>
      </c>
      <c r="U108" s="112" t="str">
        <f>IF(V107="","",V107)</f>
        <v/>
      </c>
      <c r="V108" s="87"/>
      <c r="W108" s="88"/>
      <c r="X108" s="89"/>
      <c r="Y108" s="90"/>
      <c r="Z108" s="91" t="str">
        <f>IF(AND(Y108="",AA108=""),"",":")</f>
        <v/>
      </c>
      <c r="AA108" s="92"/>
      <c r="AB108" s="90"/>
      <c r="AC108" s="91" t="str">
        <f t="shared" si="110"/>
        <v/>
      </c>
      <c r="AD108" s="92"/>
      <c r="AE108" s="359" t="s">
        <v>286</v>
      </c>
      <c r="AF108" s="354"/>
      <c r="AG108" s="355"/>
      <c r="AH108" s="93">
        <f>IF(X104&gt;V104,1)+IF(X105&gt;V105,1)+IF(X106&gt;V106,1)+IF(X107&gt;V107,1)+IF(Y108&gt;AA108,1)+IF(AB108&gt;AD108,1)</f>
        <v>0</v>
      </c>
      <c r="AI108" s="94" t="s">
        <v>197</v>
      </c>
      <c r="AJ108" s="95">
        <f>X104+X105+X106+X107+Y108+AB108</f>
        <v>0</v>
      </c>
      <c r="AK108" s="96" t="str">
        <f t="shared" si="128"/>
        <v>:</v>
      </c>
      <c r="AL108" s="97">
        <f>V104+V105+V106+V107+AA108+AD108</f>
        <v>0</v>
      </c>
      <c r="AM108" s="98" t="str">
        <f t="shared" si="111"/>
        <v>1.</v>
      </c>
      <c r="AN108" s="99" t="str">
        <f t="shared" si="112"/>
        <v>0 b</v>
      </c>
      <c r="AO108" s="100" t="str">
        <f t="shared" si="113"/>
        <v>(0:0)</v>
      </c>
      <c r="AP108" s="101" t="str">
        <f t="shared" si="114"/>
        <v/>
      </c>
      <c r="AQ108" s="102"/>
      <c r="AR108" s="103" t="str">
        <f t="shared" si="115"/>
        <v>1.</v>
      </c>
      <c r="AS108" s="102"/>
      <c r="AT108" s="104"/>
      <c r="AU108" s="104">
        <f t="shared" si="116"/>
        <v>0</v>
      </c>
      <c r="AV108" s="104">
        <f t="shared" si="117"/>
        <v>1</v>
      </c>
      <c r="AW108" s="106">
        <f>IF(AV104=AV108,X104,"")</f>
        <v>0</v>
      </c>
      <c r="AX108" s="105">
        <f>IF(AV105=AV108,X105,"")</f>
        <v>0</v>
      </c>
      <c r="AY108" s="105">
        <f>IF(AV106=AV108,X106,"")</f>
        <v>0</v>
      </c>
      <c r="AZ108" s="105">
        <f>IF(AV107=AV108,X107,"")</f>
        <v>0</v>
      </c>
      <c r="BA108" s="105"/>
      <c r="BB108" s="105">
        <f>IF(AV108=AV109,Y108,"")</f>
        <v>0</v>
      </c>
      <c r="BC108" s="105">
        <f>IF(AV108=AV110,AB108,"")</f>
        <v>0</v>
      </c>
      <c r="BD108" s="105">
        <f t="shared" si="118"/>
        <v>0</v>
      </c>
      <c r="BE108" s="105">
        <f t="shared" si="119"/>
        <v>0</v>
      </c>
      <c r="BF108" s="105"/>
      <c r="BG108" s="104">
        <f t="shared" si="120"/>
        <v>1</v>
      </c>
      <c r="BH108" s="105">
        <f>IF(AV104=AV108,V104,"")</f>
        <v>0</v>
      </c>
      <c r="BI108" s="105">
        <f>IF(AV105=AV108,V105,"")</f>
        <v>0</v>
      </c>
      <c r="BJ108" s="105">
        <f>IF(AV106=AV108,V106,"")</f>
        <v>0</v>
      </c>
      <c r="BK108" s="105">
        <f>IF(AV107=AV108,V107,"")</f>
        <v>0</v>
      </c>
      <c r="BL108" s="105"/>
      <c r="BM108" s="105">
        <f>IF(AV108=AV109,AA108,"")</f>
        <v>0</v>
      </c>
      <c r="BN108" s="105">
        <f>IF(AV108=AV110,AD108,"")</f>
        <v>0</v>
      </c>
      <c r="BO108" s="105">
        <f t="shared" si="121"/>
        <v>0</v>
      </c>
      <c r="BQ108" s="10" t="b">
        <f t="shared" si="122"/>
        <v>0</v>
      </c>
      <c r="BR108" s="10">
        <f t="shared" si="129"/>
        <v>0</v>
      </c>
      <c r="BS108" s="10" t="b">
        <f t="shared" si="123"/>
        <v>1</v>
      </c>
      <c r="BT108" s="113" t="str">
        <f>IF(BT107=0,"",BT107)</f>
        <v/>
      </c>
      <c r="BU108" s="114" t="str">
        <f>IF(BU107=0,"",BU107)</f>
        <v/>
      </c>
      <c r="BV108" s="115" t="str">
        <f>IF(BV107=0,"",BV107)</f>
        <v/>
      </c>
      <c r="BW108" s="116" t="str">
        <f>IF(BW107=0,"",BW107)</f>
        <v/>
      </c>
      <c r="BX108" s="117" t="str">
        <f>IF(BX107=0,"",BX107)</f>
        <v/>
      </c>
      <c r="BY108" s="10"/>
      <c r="BZ108" s="10" t="str">
        <f t="shared" si="124"/>
        <v/>
      </c>
      <c r="CA108" s="107"/>
      <c r="CB108" s="104">
        <f t="shared" si="125"/>
        <v>1</v>
      </c>
      <c r="CC108" s="106"/>
      <c r="CD108" s="105"/>
      <c r="CE108" s="105"/>
      <c r="CF108" s="105"/>
      <c r="CG108" s="105"/>
      <c r="CH108" s="106">
        <f>IF(CB108=CB109,1,"")</f>
        <v>1</v>
      </c>
      <c r="CI108" s="106">
        <f>IF(CB108=CB110,1,"")</f>
        <v>1</v>
      </c>
      <c r="CJ108" s="105">
        <f t="shared" si="126"/>
        <v>2</v>
      </c>
      <c r="CK108" s="107"/>
      <c r="CY108" s="109" t="str">
        <f t="shared" si="130"/>
        <v>1.</v>
      </c>
      <c r="CZ108" s="110" t="str">
        <f t="shared" si="131"/>
        <v/>
      </c>
      <c r="DA108" s="110"/>
      <c r="DB108" s="44" t="str">
        <f t="shared" si="132"/>
        <v/>
      </c>
      <c r="DC108" s="27" t="s">
        <v>205</v>
      </c>
      <c r="DE108" s="44">
        <f t="shared" si="133"/>
        <v>0</v>
      </c>
      <c r="DF108" s="44">
        <f>IF($CZ$108="",0,5)</f>
        <v>0</v>
      </c>
      <c r="DG108" s="44">
        <f>IF($CZ$108="",0,5)</f>
        <v>0</v>
      </c>
      <c r="DH108" s="44">
        <f>IF($CZ$108="",0,5)</f>
        <v>0</v>
      </c>
      <c r="DI108" s="44">
        <f>IF($CZ$108="",0,5)</f>
        <v>0</v>
      </c>
    </row>
    <row r="109" spans="2:113" ht="30" customHeight="1" x14ac:dyDescent="0.55000000000000004">
      <c r="D109" s="85" t="str">
        <f>IF(B104=7,$DE$19,"")</f>
        <v/>
      </c>
      <c r="E109" s="85" t="str">
        <f>IF(B104=7,$DE$20,"")</f>
        <v/>
      </c>
      <c r="F109" s="85" t="str">
        <f>IF(B104=7,$DE$21,"")</f>
        <v/>
      </c>
      <c r="G109" s="86" t="s">
        <v>6</v>
      </c>
      <c r="H109" s="358" t="str">
        <f>IF(AND(I38=6,CV40&lt;6,CV42&lt;6,CV44&lt;6,CV46&lt;6,CX40&gt;5,I48="ANO"),CS35,IF(AND(I38=6,CV40&gt;5,CV42&lt;6,CV44&lt;6,CV46&lt;6,CX40&gt;5,I48="ANO"),CS36,IF(AND(I38=6,CV40&lt;6,CV42&gt;5,CV44&lt;6,CV46&lt;6,CX40&gt;5,I48="ANO"),CS36,IF(AND(I38=6,CV40&lt;6,CV42&lt;6,CV44&gt;5,CV46&lt;6,CX40&gt;5,I48="ANO"),CS36,IF(AND(I38=6,CV40&lt;6,CV42&lt;6,CV44&lt;6,CV46&gt;5,CX40&gt;5,I48="ANO"),CS36,IF(AND(I38=6,CV40&gt;5,CV42&gt;5,CV44&lt;6,CV46&lt;6,CX40&gt;5,I48="ANO"),CS37,IF(AND(I38=6,CV40&gt;5,CV42&lt;6,CV44&gt;5,CV46&lt;6,CX40&gt;5,I48="ANO"),CS37,IF(AND(I38=6,CV40&gt;5,CV42&lt;6,CV44&lt;6,CV46&gt;5,CX40&gt;5,I48="ANO"),CS37,IF(AND(I38=6,CV40&lt;6,CV42&gt;5,CV44&gt;5,CV46&lt;6,CX40&gt;5,I48="ANO"),CS37,IF(AND(I38=6,CV40&lt;6,CV42&gt;5,CV44&lt;6,CV46&gt;5,CX40&gt;5,I48="ANO"),CS37,IF(AND(I38=6,CV40&lt;6,CV42&lt;6,CV44&gt;5,CV46&gt;5,CX40&gt;5,I48="ANO"),CS37,IF(AND(I38=6,CV40&gt;5,CV42&gt;5,CV44&gt;5,CV46&lt;6,CX40&gt;5,I48="ANO"),CS38,IF(AND(I38=6,CV40&gt;5,CV42&gt;5,CV44&lt;6,CV46&gt;5,CX40&gt;5,I48="ANO"),CS38,IF(AND(I38=6,CV40&gt;5,CV42&lt;6,CV44&gt;5,CV46&gt;5,CX40&gt;5,I48="ANO"),CS38,IF(AND(I38=6,CV40&lt;6,CV42&gt;5,CV44&gt;5,CV46&gt;5,CX40&gt;5,I48="ANO"),CS38,IF(AND(I38=6,CV40&gt;5,CV42&gt;5,CV44&gt;5,CV46&gt;5,CX40&gt;5,I48="ANO"),CS39,IF(AND(I38=8,CV40&lt;6,CV42&lt;6,CV44&lt;6,CV46&lt;6,CX40&gt;5,I48="ANO"),CS45,IF(AND(I38=8,CV40&gt;5,CV42&lt;6,CV44&lt;6,CV46&lt;6,CX40&gt;5,I48="ANO"),CS46,IF(AND(I38=8,CV40&lt;6,CV42&gt;5,CV44&lt;6,CV46&lt;6,CX40&gt;5,I48="ANO"),CS46,IF(AND(I38=8,CV40&lt;6,CV42&lt;6,CV44&gt;5,CV46&lt;6,CX40&gt;5,I48="ANO"),CS46,IF(AND(I38=8,CV40&lt;6,CV42&lt;6,CV44&lt;6,CV46&gt;5,CX40&gt;5,I48="ANO"),CS46,IF(AND(I38=8,CV40&gt;5,CV42&gt;5,CV44&lt;6,CV46&lt;6,CX40&gt;5,I48="ANO"),CS47,IF(AND(I38=8,CV40&gt;5,CV42&lt;6,CV44&gt;5,CV46&lt;6,CX40&gt;5,I48="ANO"),CS47,IF(AND(I38=8,CV40&gt;5,CV42&lt;6,CV44&lt;6,CV46&gt;5,CX40&gt;5,I48="ANO"),CS47,IF(AND(I38=8,CV40&lt;6,CV42&gt;5,CV44&gt;5,CV46&lt;6,CX40&gt;5,I48="ANO"),CS47,IF(AND(I38=8,CV40&lt;6,CV42&gt;5,CV44&lt;6,CV46&gt;5,CX40&gt;5,I48="ANO"),CS47,IF(AND(I38=8,CV40&lt;6,CV42&lt;6,CV44&gt;5,CV46&gt;5,CX40&gt;5,I48="ANO"),CS47,IF(AND(I38=8,CV40&gt;5,CV42&gt;5,CV44&gt;5,CV46&lt;6,CX40&gt;5,I48="ANO"),CS48,IF(AND(I38=8,CV40&gt;5,CV42&gt;5,CV44&lt;6,CV46&gt;5,CX40&gt;5,I48="ANO"),CS48,IF(AND(I38=8,CV40&gt;5,CV42&lt;6,CV44&gt;5,CV46&gt;5,CX40&gt;5,I48="ANO"),CS48,IF(AND(I38=8,CV40&lt;6,CV42&gt;5,CV44&gt;5,CV46&gt;5,CX40&gt;5,I48="ANO"),CS48,IF(AND(I38=8,CV40&gt;5,CV42&gt;5,CV44&gt;5,CV46&gt;5,CX40&gt;5,I48="ANO"),CS49,""))))))))))))))))))))))))))))))))</f>
        <v/>
      </c>
      <c r="I109" s="358"/>
      <c r="J109" s="111" t="str">
        <f>IF(AA104="","",AA104)</f>
        <v/>
      </c>
      <c r="K109" s="91" t="str">
        <f t="shared" si="127"/>
        <v/>
      </c>
      <c r="L109" s="112" t="str">
        <f>IF(Y104="","",Y104)</f>
        <v/>
      </c>
      <c r="M109" s="111" t="str">
        <f>IF(AA105="","",AA105)</f>
        <v/>
      </c>
      <c r="N109" s="91" t="str">
        <f>IF(AND(M109="",O109=""),"",":")</f>
        <v/>
      </c>
      <c r="O109" s="112" t="str">
        <f>IF(Y105="","",Y105)</f>
        <v/>
      </c>
      <c r="P109" s="111" t="str">
        <f>IF(AA106="","",AA106)</f>
        <v/>
      </c>
      <c r="Q109" s="91" t="str">
        <f t="shared" si="109"/>
        <v/>
      </c>
      <c r="R109" s="112" t="str">
        <f>IF(Y106="","",Y106)</f>
        <v/>
      </c>
      <c r="S109" s="111" t="str">
        <f>IF(AA107="","",AA107)</f>
        <v/>
      </c>
      <c r="T109" s="91" t="str">
        <f>IF(AND(S109="",U109=""),"",":")</f>
        <v/>
      </c>
      <c r="U109" s="112" t="str">
        <f>IF(Y107="","",Y107)</f>
        <v/>
      </c>
      <c r="V109" s="111" t="str">
        <f>IF(AA108="","",AA108)</f>
        <v/>
      </c>
      <c r="W109" s="91" t="str">
        <f>IF(AND(V109="",X109=""),"",":")</f>
        <v/>
      </c>
      <c r="X109" s="112" t="str">
        <f>IF(Y108="","",Y108)</f>
        <v/>
      </c>
      <c r="Y109" s="87"/>
      <c r="Z109" s="88"/>
      <c r="AA109" s="89"/>
      <c r="AB109" s="90"/>
      <c r="AC109" s="91" t="str">
        <f t="shared" si="110"/>
        <v/>
      </c>
      <c r="AD109" s="92"/>
      <c r="AE109" s="353" t="s">
        <v>287</v>
      </c>
      <c r="AF109" s="354"/>
      <c r="AG109" s="355"/>
      <c r="AH109" s="93">
        <f>IF(AA104&gt;Y104,1)+IF(AA105&gt;Y105,1)+IF(AA106&gt;Y106,1)+IF(AA107&gt;Y107,1)+IF(AA108&gt;Y108,1)+IF(AB109&gt;AD109,1)</f>
        <v>0</v>
      </c>
      <c r="AI109" s="94" t="s">
        <v>197</v>
      </c>
      <c r="AJ109" s="95">
        <f>AA104+AA105+AA106+AA107+AA108+AB109</f>
        <v>0</v>
      </c>
      <c r="AK109" s="96" t="str">
        <f t="shared" si="128"/>
        <v>:</v>
      </c>
      <c r="AL109" s="97">
        <f>Y104+Y105+Y106+Y107+Y108+AD109</f>
        <v>0</v>
      </c>
      <c r="AM109" s="98" t="str">
        <f t="shared" si="111"/>
        <v>1.</v>
      </c>
      <c r="AN109" s="99" t="str">
        <f t="shared" si="112"/>
        <v>0 b</v>
      </c>
      <c r="AO109" s="100" t="str">
        <f t="shared" si="113"/>
        <v>(0:0)</v>
      </c>
      <c r="AP109" s="101" t="str">
        <f t="shared" si="114"/>
        <v/>
      </c>
      <c r="AQ109" s="102"/>
      <c r="AR109" s="103" t="str">
        <f t="shared" si="115"/>
        <v>1.</v>
      </c>
      <c r="AS109" s="102"/>
      <c r="AT109" s="104"/>
      <c r="AU109" s="104">
        <f t="shared" si="116"/>
        <v>0</v>
      </c>
      <c r="AV109" s="104">
        <f t="shared" si="117"/>
        <v>1</v>
      </c>
      <c r="AW109" s="106">
        <f>IF(AV104=AV109,AA104,"")</f>
        <v>0</v>
      </c>
      <c r="AX109" s="105">
        <f>IF(AV105=AV109,AA105,"")</f>
        <v>0</v>
      </c>
      <c r="AY109" s="105">
        <f>IF(AV106=AV109,AA106,"")</f>
        <v>0</v>
      </c>
      <c r="AZ109" s="105">
        <f>IF(AV107=AV109,AA107,"")</f>
        <v>0</v>
      </c>
      <c r="BA109" s="105">
        <f>IF(AV108=AV109,AA108,"")</f>
        <v>0</v>
      </c>
      <c r="BB109" s="105"/>
      <c r="BC109" s="105">
        <f>IF(AV109=AV110,AB109,"")</f>
        <v>0</v>
      </c>
      <c r="BD109" s="105">
        <f t="shared" si="118"/>
        <v>0</v>
      </c>
      <c r="BE109" s="105">
        <f t="shared" si="119"/>
        <v>0</v>
      </c>
      <c r="BF109" s="105"/>
      <c r="BG109" s="104">
        <f t="shared" si="120"/>
        <v>1</v>
      </c>
      <c r="BH109" s="105">
        <f>IF(AV104=AV109,Y104,"")</f>
        <v>0</v>
      </c>
      <c r="BI109" s="105">
        <f>IF(AV105=AV109,Y105,"")</f>
        <v>0</v>
      </c>
      <c r="BJ109" s="105">
        <f>IF(AV106=AV109,Y106,"")</f>
        <v>0</v>
      </c>
      <c r="BK109" s="105">
        <f>IF(AV107=AV109,Y107,"")</f>
        <v>0</v>
      </c>
      <c r="BL109" s="105">
        <f>IF(AV108=AV109,Y108,"")</f>
        <v>0</v>
      </c>
      <c r="BM109" s="105"/>
      <c r="BN109" s="105">
        <f>IF(AV109=AV110,AD109,"")</f>
        <v>0</v>
      </c>
      <c r="BO109" s="105">
        <f t="shared" si="121"/>
        <v>0</v>
      </c>
      <c r="BQ109" s="10" t="b">
        <f t="shared" si="122"/>
        <v>0</v>
      </c>
      <c r="BR109" s="10">
        <f t="shared" si="129"/>
        <v>0</v>
      </c>
      <c r="BS109" s="10" t="b">
        <f t="shared" si="123"/>
        <v>1</v>
      </c>
      <c r="BT109" s="10"/>
      <c r="BU109" s="10"/>
      <c r="BV109" s="10"/>
      <c r="BW109" s="10"/>
      <c r="BX109" s="10"/>
      <c r="BY109" s="10"/>
      <c r="BZ109" s="10" t="str">
        <f t="shared" si="124"/>
        <v/>
      </c>
      <c r="CA109" s="107"/>
      <c r="CB109" s="104">
        <f t="shared" si="125"/>
        <v>1</v>
      </c>
      <c r="CC109" s="106"/>
      <c r="CD109" s="105"/>
      <c r="CE109" s="105"/>
      <c r="CF109" s="105"/>
      <c r="CG109" s="105"/>
      <c r="CH109" s="105"/>
      <c r="CI109" s="106">
        <f>IF(CB109=CB110,1,"")</f>
        <v>1</v>
      </c>
      <c r="CJ109" s="105">
        <f t="shared" si="126"/>
        <v>1</v>
      </c>
      <c r="CK109" s="107"/>
      <c r="CY109" s="109" t="str">
        <f t="shared" si="130"/>
        <v>1.</v>
      </c>
      <c r="CZ109" s="110" t="str">
        <f t="shared" si="131"/>
        <v/>
      </c>
      <c r="DA109" s="110"/>
      <c r="DB109" s="44" t="str">
        <f t="shared" si="132"/>
        <v/>
      </c>
      <c r="DC109" s="27" t="s">
        <v>206</v>
      </c>
      <c r="DE109" s="44">
        <f t="shared" si="133"/>
        <v>0</v>
      </c>
      <c r="DF109" s="44">
        <f>IF($CZ$109="",0,5)</f>
        <v>0</v>
      </c>
      <c r="DG109" s="44">
        <f>IF($CZ$109="",0,5)</f>
        <v>0</v>
      </c>
      <c r="DH109" s="44">
        <f>IF($CZ$109="",0,5)</f>
        <v>0</v>
      </c>
      <c r="DI109" s="44">
        <f>IF($CZ$109="",0,5)</f>
        <v>0</v>
      </c>
    </row>
    <row r="110" spans="2:113" ht="30" customHeight="1" x14ac:dyDescent="0.55000000000000004">
      <c r="D110" s="85" t="str">
        <f>IF(B104=7,$DE$22,"")</f>
        <v/>
      </c>
      <c r="E110" s="85" t="str">
        <f>IF(B104=7,$DE$23,"")</f>
        <v/>
      </c>
      <c r="F110" s="85" t="str">
        <f>IF(B104=7,$DE$24,"")</f>
        <v/>
      </c>
      <c r="G110" s="86" t="s">
        <v>7</v>
      </c>
      <c r="H110" s="358" t="str">
        <f>IF(AND(I38=6,CV40&lt;7,CV42&lt;7,CV44&lt;7,CV46&lt;7,CX40&gt;6,I48="ANO"),CS41,IF(AND(I38=6,CV40&gt;6,CV42&lt;7,CV44&lt;7,CV46&lt;7,CX40&gt;6,I48="ANO"),CS42,IF(AND(I38=6,CV40&lt;7,CV42&gt;6,CV44&lt;7,CV46&lt;7,CX40&gt;6,I48="ANO"),CS42,IF(AND(I38=6,CV40&lt;7,CV42&lt;7,CV44&gt;6,CV46&lt;7,CX40&gt;6,I48="ANO"),CS42,IF(AND(I38=6,CV40&lt;7,CV42&lt;7,CV44&lt;7,CV46&gt;6,CX40&gt;3,I48="ANO"),CS42,IF(AND(I38=6,CV40&gt;6,CV42&gt;6,CV44&lt;7,CV46&lt;7,CX40&gt;6,I48="ANO"),CS43,IF(AND(I38=6,CV40&gt;6,CV42&lt;7,CV44&gt;6,CV46&lt;7,CX40&gt;6,I48="ANO"),CS43,IF(AND(I38=6,CV40&gt;6,CV42&lt;7,CV44&lt;7,CV46&gt;6,CX40&gt;6,I48="ANO"),CS43,IF(AND(I38=6,CV40&lt;7,CV42&gt;6,CV44&gt;6,CV46&lt;7,CX40&gt;6,I48="ANO"),CS43,IF(AND(I38=6,CV40&lt;7,CV42&gt;6,CV44&lt;7,CV46&gt;6,CX40&gt;6,I48="ANO"),CS43,IF(AND(I38=6,CV40&lt;7,CV42&lt;7,CV44&gt;6,CV46&gt;6,CX40&gt;6,I48="ANO"),CS43,IF(AND(I38=6,CV40&gt;6,CV42&gt;6,CV44&gt;6,CV46&lt;7,CX40&gt;6,I48="ANO"),CS44,IF(AND(I38=6,CV40&gt;6,CV42&gt;6,CV44&lt;7,CV46&gt;6,CX40&gt;6,I48="ANO"),CS44,IF(AND(I38=6,CV40&gt;6,CV42&lt;7,CV44&gt;6,CV46&gt;6,CX40&gt;6,I48="ANO"),CS44,IF(AND(I38=6,CV40&lt;7,CV42&gt;6,CV44&gt;6,CV46&gt;6,CX40&gt;6,I48="ANO"),CS44,IF(AND(I38=6,CV40&gt;6,CV42&gt;6,CV44&gt;6,CV46&gt;6,CX40&gt;6,I48="ANO"),CS45,IF(AND(I38=8,CV40&lt;7,CV42&lt;7,CV44&lt;7,CV46&lt;7,CX40&gt;6,I48="ANO"),CS53,IF(AND(I38=8,CV40&gt;6,CV42&lt;7,CV44&lt;7,CV46&lt;7,CX40&gt;6,I48="ANO"),CS54,IF(AND(I38=8,CV40&lt;7,CV42&gt;6,CV44&lt;7,CV46&lt;7,CX40&gt;6,I48="ANO"),CS54,IF(AND(I38=8,CV40&lt;7,CV42&lt;7,CV44&gt;6,CV46&lt;7,CX40&gt;6,I48="ANO"),CS54,IF(AND(I38=8,CV40&lt;7,CV42&lt;7,CV44&lt;7,CV46&gt;6,CX40&gt;3,I48="ANO"),CS54,IF(AND(I38=8,CV40&gt;6,CV42&gt;6,CV44&lt;7,CV46&lt;7,CX40&gt;6,I48="ANO"),CS55,IF(AND(I38=8,CV40&gt;6,CV42&lt;7,CV44&gt;6,CV46&lt;7,CX40&gt;6,I48="ANO"),CS55,IF(AND(I38=8,CV40&gt;6,CV42&lt;7,CV44&lt;7,CV46&gt;6,CX40&gt;6,I48="ANO"),CS55,IF(AND(I38=8,CV40&lt;7,CV42&gt;6,CV44&gt;6,CV46&lt;7,CX40&gt;6,I48="ANO"),CS55,IF(AND(I38=8,CV40&lt;7,CV42&gt;6,CV44&lt;7,CV46&gt;6,CX40&gt;6,I48="ANO"),CS55,IF(AND(I38=8,CV40&lt;7,CV42&lt;7,CV44&gt;6,CV46&gt;6,CX40&gt;6,I48="ANO"),CS55,IF(AND(I38=8,CV40&gt;6,CV42&gt;6,CV44&gt;6,CV46&lt;7,CX40&gt;6,I48="ANO"),CS56,IF(AND(I38=8,CV40&gt;6,CV42&gt;6,CV44&lt;7,CV46&gt;6,CX40&gt;6,I48="ANO"),CS56,IF(AND(I38=8,CV40&gt;6,CV42&lt;7,CV44&gt;6,CV46&gt;6,CX40&gt;6,I48="ANO"),CS56,IF(AND(I38=8,CV40&lt;7,CV42&gt;6,CV44&gt;6,CV46&gt;6,CX40&gt;6,I48="ANO"),CS56,IF(AND(I38=8,CV40&gt;6,CV42&gt;6,CV44&gt;6,CV46&gt;6,CX40&gt;6,I48="ANO"),CS57,""))))))))))))))))))))))))))))))))</f>
        <v/>
      </c>
      <c r="I110" s="358"/>
      <c r="J110" s="111" t="str">
        <f>IF(AD104="","",AD104)</f>
        <v/>
      </c>
      <c r="K110" s="91" t="str">
        <f t="shared" si="127"/>
        <v/>
      </c>
      <c r="L110" s="112" t="str">
        <f>IF(AB104="","",AB104)</f>
        <v/>
      </c>
      <c r="M110" s="111" t="str">
        <f>IF(AD105="","",AD105)</f>
        <v/>
      </c>
      <c r="N110" s="91" t="str">
        <f>IF(AND(M110="",O110=""),"",":")</f>
        <v/>
      </c>
      <c r="O110" s="112" t="str">
        <f>IF(AB105="","",AB105)</f>
        <v/>
      </c>
      <c r="P110" s="111" t="str">
        <f>IF(AD106="","",AD106)</f>
        <v/>
      </c>
      <c r="Q110" s="91" t="str">
        <f t="shared" si="109"/>
        <v/>
      </c>
      <c r="R110" s="112" t="str">
        <f>IF(AB106="","",AB106)</f>
        <v/>
      </c>
      <c r="S110" s="111" t="str">
        <f>IF(AD107="","",AD107)</f>
        <v/>
      </c>
      <c r="T110" s="91" t="str">
        <f>IF(AND(S110="",U110=""),"",":")</f>
        <v/>
      </c>
      <c r="U110" s="112" t="str">
        <f>IF(AB107="","",AB107)</f>
        <v/>
      </c>
      <c r="V110" s="111" t="str">
        <f>IF(AD108="","",AD108)</f>
        <v/>
      </c>
      <c r="W110" s="91" t="str">
        <f>IF(AND(V110="",X110=""),"",":")</f>
        <v/>
      </c>
      <c r="X110" s="112" t="str">
        <f>IF(AB108="","",AB108)</f>
        <v/>
      </c>
      <c r="Y110" s="111" t="str">
        <f>IF(AD109="","",AD109)</f>
        <v/>
      </c>
      <c r="Z110" s="91" t="str">
        <f>IF(AND(Y110="",AA110=""),"",":")</f>
        <v/>
      </c>
      <c r="AA110" s="112" t="str">
        <f>IF(AB109="","",AB109)</f>
        <v/>
      </c>
      <c r="AB110" s="87"/>
      <c r="AC110" s="88"/>
      <c r="AD110" s="89"/>
      <c r="AE110" s="359" t="s">
        <v>288</v>
      </c>
      <c r="AF110" s="354"/>
      <c r="AG110" s="355"/>
      <c r="AH110" s="93">
        <f>IF(AD104&gt;AB104,1)+IF(AD105&gt;AB105,1)+IF(AD106&gt;AB106,1)+IF(AD107&gt;AB107,1)+IF(AD108&gt;AB108,1)+IF(AD109&gt;AB109,1)</f>
        <v>0</v>
      </c>
      <c r="AI110" s="94" t="s">
        <v>197</v>
      </c>
      <c r="AJ110" s="95">
        <f>AD104+AD105+AD106+AD107+AD108+AD109</f>
        <v>0</v>
      </c>
      <c r="AK110" s="96" t="str">
        <f t="shared" si="128"/>
        <v>:</v>
      </c>
      <c r="AL110" s="97">
        <f>AB104+AB105+AB106+AB107+AB108+AB109</f>
        <v>0</v>
      </c>
      <c r="AM110" s="98" t="str">
        <f t="shared" si="111"/>
        <v>1.</v>
      </c>
      <c r="AN110" s="99" t="str">
        <f t="shared" si="112"/>
        <v>0 b</v>
      </c>
      <c r="AO110" s="100" t="str">
        <f t="shared" si="113"/>
        <v>(0:0)</v>
      </c>
      <c r="AP110" s="101" t="str">
        <f t="shared" si="114"/>
        <v/>
      </c>
      <c r="AQ110" s="102"/>
      <c r="AR110" s="103" t="str">
        <f t="shared" si="115"/>
        <v>1.</v>
      </c>
      <c r="AS110" s="102"/>
      <c r="AT110" s="104"/>
      <c r="AU110" s="104">
        <f t="shared" si="116"/>
        <v>0</v>
      </c>
      <c r="AV110" s="104">
        <f t="shared" si="117"/>
        <v>1</v>
      </c>
      <c r="AW110" s="106">
        <f>IF(AV104=AV110,AD104,"")</f>
        <v>0</v>
      </c>
      <c r="AX110" s="105">
        <f>IF(AV105=AV110,AD105,"")</f>
        <v>0</v>
      </c>
      <c r="AY110" s="105">
        <f>IF(AV106=AV110,AD106,"")</f>
        <v>0</v>
      </c>
      <c r="AZ110" s="105">
        <f>IF(AV107=AV110,AD107,"")</f>
        <v>0</v>
      </c>
      <c r="BA110" s="105">
        <f>IF(AV108=AV110,AD108,"")</f>
        <v>0</v>
      </c>
      <c r="BB110" s="105">
        <f>IF(AV109=AV110,AD109,"")</f>
        <v>0</v>
      </c>
      <c r="BC110" s="105"/>
      <c r="BD110" s="105">
        <f t="shared" si="118"/>
        <v>0</v>
      </c>
      <c r="BE110" s="105">
        <f t="shared" si="119"/>
        <v>0</v>
      </c>
      <c r="BF110" s="105"/>
      <c r="BG110" s="104">
        <f t="shared" si="120"/>
        <v>1</v>
      </c>
      <c r="BH110" s="105">
        <f>IF(AV104=AV110,AB104,"")</f>
        <v>0</v>
      </c>
      <c r="BI110" s="105">
        <f>IF(AV105=AV110,AB105,"")</f>
        <v>0</v>
      </c>
      <c r="BJ110" s="105">
        <f>IF(AV106=AV110,AB106,"")</f>
        <v>0</v>
      </c>
      <c r="BK110" s="105">
        <f>IF(AV107=AV110,AB107,"")</f>
        <v>0</v>
      </c>
      <c r="BL110" s="105">
        <f>IF(AV108=AV110,AB108,"")</f>
        <v>0</v>
      </c>
      <c r="BM110" s="105">
        <f>IF(AV109=AV110,AB109,"")</f>
        <v>0</v>
      </c>
      <c r="BN110" s="105"/>
      <c r="BO110" s="105">
        <f t="shared" si="121"/>
        <v>0</v>
      </c>
      <c r="BQ110" s="10" t="b">
        <f t="shared" si="122"/>
        <v>0</v>
      </c>
      <c r="BR110" s="10">
        <f t="shared" si="129"/>
        <v>0</v>
      </c>
      <c r="BS110" s="10" t="b">
        <f t="shared" si="123"/>
        <v>1</v>
      </c>
      <c r="BT110" s="10"/>
      <c r="BU110" s="10"/>
      <c r="BV110" s="10"/>
      <c r="BW110" s="10"/>
      <c r="BX110" s="10"/>
      <c r="BY110" s="10"/>
      <c r="BZ110" s="10" t="str">
        <f t="shared" si="124"/>
        <v/>
      </c>
      <c r="CA110" s="107"/>
      <c r="CB110" s="104">
        <f t="shared" si="125"/>
        <v>1</v>
      </c>
      <c r="CC110" s="106"/>
      <c r="CD110" s="105"/>
      <c r="CE110" s="105"/>
      <c r="CF110" s="105"/>
      <c r="CG110" s="105"/>
      <c r="CH110" s="105"/>
      <c r="CI110" s="105"/>
      <c r="CJ110" s="105">
        <f t="shared" si="126"/>
        <v>0</v>
      </c>
      <c r="CK110" s="107"/>
      <c r="CY110" s="109" t="str">
        <f t="shared" si="130"/>
        <v>1.</v>
      </c>
      <c r="CZ110" s="110" t="str">
        <f t="shared" si="131"/>
        <v/>
      </c>
      <c r="DA110" s="110"/>
      <c r="DB110" s="44" t="str">
        <f t="shared" si="132"/>
        <v/>
      </c>
      <c r="DC110" s="27" t="s">
        <v>207</v>
      </c>
      <c r="DE110" s="44">
        <f t="shared" si="133"/>
        <v>0</v>
      </c>
      <c r="DF110" s="44">
        <f>IF($CZ$110="",0,5)</f>
        <v>0</v>
      </c>
      <c r="DG110" s="44">
        <f>IF($CZ$110="",0,5)</f>
        <v>0</v>
      </c>
      <c r="DH110" s="44">
        <f>IF($CZ$110="",0,5)</f>
        <v>0</v>
      </c>
      <c r="DI110" s="44">
        <f>IF($CZ$110="",0,5)</f>
        <v>0</v>
      </c>
    </row>
    <row r="111" spans="2:113" ht="11.25" customHeight="1" x14ac:dyDescent="0.5">
      <c r="AK111" s="118"/>
      <c r="AN111" s="119"/>
      <c r="AP111" s="119">
        <f>COUNTIF(AP104:AP110,"&gt;0")</f>
        <v>0</v>
      </c>
      <c r="AU111" s="10">
        <f>COUNTIF(AU104:AU110,"&gt;0")</f>
        <v>0</v>
      </c>
      <c r="AY111" s="10"/>
      <c r="BR111" s="9">
        <f>SUM(BR104:BR110)</f>
        <v>0</v>
      </c>
      <c r="BS111" s="10">
        <f>COUNTIF(BS104:BS110,TRUE)</f>
        <v>7</v>
      </c>
      <c r="BT111" s="9">
        <f>BR111*BS111</f>
        <v>0</v>
      </c>
      <c r="BZ111" s="10">
        <f>COUNTIF(BZ104:BZ110,1)</f>
        <v>0</v>
      </c>
      <c r="CE111" s="10"/>
      <c r="CK111" s="120">
        <f>SUM(AH104:AH110)</f>
        <v>0</v>
      </c>
    </row>
    <row r="113" spans="2:113" ht="15" customHeight="1" x14ac:dyDescent="0.5"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74"/>
    </row>
    <row r="114" spans="2:113" ht="165" customHeight="1" x14ac:dyDescent="0.9">
      <c r="H114" s="356" t="s">
        <v>216</v>
      </c>
      <c r="I114" s="357"/>
      <c r="J114" s="360" t="str">
        <f>H115</f>
        <v/>
      </c>
      <c r="K114" s="345"/>
      <c r="L114" s="346"/>
      <c r="M114" s="360" t="str">
        <f>H116</f>
        <v/>
      </c>
      <c r="N114" s="345"/>
      <c r="O114" s="346"/>
      <c r="P114" s="360" t="str">
        <f>H117</f>
        <v/>
      </c>
      <c r="Q114" s="345"/>
      <c r="R114" s="346"/>
      <c r="S114" s="360" t="str">
        <f>H118</f>
        <v/>
      </c>
      <c r="T114" s="345"/>
      <c r="U114" s="346"/>
      <c r="V114" s="360" t="str">
        <f>H119</f>
        <v/>
      </c>
      <c r="W114" s="345"/>
      <c r="X114" s="346"/>
      <c r="Y114" s="360" t="str">
        <f>H120</f>
        <v/>
      </c>
      <c r="Z114" s="345"/>
      <c r="AA114" s="346"/>
      <c r="AB114" s="360" t="str">
        <f>H121</f>
        <v/>
      </c>
      <c r="AC114" s="345"/>
      <c r="AD114" s="346"/>
      <c r="AE114" s="347" t="s">
        <v>175</v>
      </c>
      <c r="AF114" s="348"/>
      <c r="AG114" s="349"/>
      <c r="AH114" s="347" t="s">
        <v>176</v>
      </c>
      <c r="AI114" s="349"/>
      <c r="AJ114" s="350" t="s">
        <v>177</v>
      </c>
      <c r="AK114" s="350"/>
      <c r="AL114" s="350"/>
      <c r="AM114" s="75" t="s">
        <v>178</v>
      </c>
      <c r="AN114" s="76" t="s">
        <v>179</v>
      </c>
      <c r="AO114" s="76" t="s">
        <v>180</v>
      </c>
      <c r="AP114" s="76" t="s">
        <v>181</v>
      </c>
      <c r="AQ114" s="78"/>
      <c r="AR114" s="78" t="s">
        <v>182</v>
      </c>
      <c r="AS114" s="79"/>
      <c r="AT114" s="80"/>
      <c r="AU114" s="80"/>
      <c r="AV114" s="81" t="s">
        <v>183</v>
      </c>
      <c r="AW114" s="82">
        <v>1</v>
      </c>
      <c r="AX114" s="82">
        <v>2</v>
      </c>
      <c r="AY114" s="82">
        <v>3</v>
      </c>
      <c r="AZ114" s="81" t="s">
        <v>4</v>
      </c>
      <c r="BA114" s="81" t="s">
        <v>5</v>
      </c>
      <c r="BB114" s="81" t="s">
        <v>6</v>
      </c>
      <c r="BC114" s="81" t="s">
        <v>7</v>
      </c>
      <c r="BD114" s="81" t="s">
        <v>184</v>
      </c>
      <c r="BG114" s="81" t="s">
        <v>178</v>
      </c>
      <c r="BH114" s="82">
        <v>1</v>
      </c>
      <c r="BI114" s="82">
        <v>2</v>
      </c>
      <c r="BJ114" s="82">
        <v>3</v>
      </c>
      <c r="BK114" s="81" t="s">
        <v>4</v>
      </c>
      <c r="BL114" s="81" t="s">
        <v>5</v>
      </c>
      <c r="BM114" s="81" t="s">
        <v>6</v>
      </c>
      <c r="BN114" s="81" t="s">
        <v>7</v>
      </c>
      <c r="BO114" s="81" t="s">
        <v>185</v>
      </c>
      <c r="BQ114" s="81" t="s">
        <v>186</v>
      </c>
      <c r="BR114" s="81" t="s">
        <v>187</v>
      </c>
      <c r="BS114" s="81" t="s">
        <v>188</v>
      </c>
      <c r="BT114" s="81" t="s">
        <v>189</v>
      </c>
      <c r="BU114" s="81" t="s">
        <v>190</v>
      </c>
      <c r="BV114" s="81" t="s">
        <v>191</v>
      </c>
      <c r="BW114" s="81" t="s">
        <v>192</v>
      </c>
      <c r="BX114" s="81" t="s">
        <v>193</v>
      </c>
      <c r="BY114" s="81"/>
      <c r="BZ114" s="81" t="s">
        <v>194</v>
      </c>
      <c r="CA114" s="83"/>
      <c r="CB114" s="81" t="s">
        <v>195</v>
      </c>
      <c r="CC114" s="82">
        <v>1</v>
      </c>
      <c r="CD114" s="82">
        <v>2</v>
      </c>
      <c r="CE114" s="82">
        <v>3</v>
      </c>
      <c r="CF114" s="81" t="s">
        <v>4</v>
      </c>
      <c r="CG114" s="81" t="s">
        <v>5</v>
      </c>
      <c r="CH114" s="81" t="s">
        <v>6</v>
      </c>
      <c r="CI114" s="81" t="s">
        <v>7</v>
      </c>
      <c r="CJ114" s="81" t="s">
        <v>184</v>
      </c>
      <c r="CK114" s="83" t="s">
        <v>196</v>
      </c>
      <c r="CY114" s="11" t="s">
        <v>178</v>
      </c>
      <c r="CZ114" s="11" t="s">
        <v>14</v>
      </c>
      <c r="DB114" s="1" t="s">
        <v>14</v>
      </c>
      <c r="DC114" s="1" t="s">
        <v>178</v>
      </c>
    </row>
    <row r="115" spans="2:113" ht="30" customHeight="1" x14ac:dyDescent="0.55000000000000004">
      <c r="B115" s="84">
        <f>CX42</f>
        <v>0</v>
      </c>
      <c r="D115" s="85" t="str">
        <f>IF(B115=3,$DA$4,IF(B115=4,$DB$4,IF(B115=5,$DC$4,IF(B115=6,$DD$4,IF(B115=7,$DE$4,"")))))</f>
        <v/>
      </c>
      <c r="E115" s="85" t="str">
        <f>IF(B115=3,$DA$5,IF(B115=4,$DB$5,IF(B115=5,$DC$5,IF(B115=6,$DD$5,IF(B115=7,$DE$5,"")))))</f>
        <v/>
      </c>
      <c r="F115" s="85" t="str">
        <f>IF(B115=3,$DA$6,IF(B115=4,$DB$6,IF(B115=5,$DC$6,IF(B115=6,$DD$6,IF(B115=7,$DE$6,"")))))</f>
        <v/>
      </c>
      <c r="G115" s="86" t="s">
        <v>21</v>
      </c>
      <c r="H115" s="358" t="str">
        <f>IF(AND(I38=6,CX42&gt;0,I48="ANO"),CS10,IF(AND(I38=8,CX42&gt;0,I48="ANO"),CS10,""))</f>
        <v/>
      </c>
      <c r="I115" s="358"/>
      <c r="J115" s="87"/>
      <c r="K115" s="88"/>
      <c r="L115" s="89"/>
      <c r="M115" s="90"/>
      <c r="N115" s="91" t="str">
        <f>IF(AND(M115="",O115=""),"",":")</f>
        <v/>
      </c>
      <c r="O115" s="92"/>
      <c r="P115" s="90"/>
      <c r="Q115" s="91" t="str">
        <f t="shared" ref="Q115:Q121" si="134">IF(AND(P115="",R115=""),"",":")</f>
        <v/>
      </c>
      <c r="R115" s="92"/>
      <c r="S115" s="90"/>
      <c r="T115" s="91" t="str">
        <f>IF(AND(S115="",U115=""),"",":")</f>
        <v/>
      </c>
      <c r="U115" s="92"/>
      <c r="V115" s="90"/>
      <c r="W115" s="91" t="str">
        <f>IF(AND(V115="",X115=""),"",":")</f>
        <v/>
      </c>
      <c r="X115" s="92"/>
      <c r="Y115" s="90"/>
      <c r="Z115" s="91" t="str">
        <f>IF(AND(Y115="",AA115=""),"",":")</f>
        <v/>
      </c>
      <c r="AA115" s="92"/>
      <c r="AB115" s="90"/>
      <c r="AC115" s="91" t="str">
        <f t="shared" ref="AC115:AC120" si="135">IF(AND(AB115="",AD115=""),"",":")</f>
        <v/>
      </c>
      <c r="AD115" s="92"/>
      <c r="AE115" s="353">
        <v>180</v>
      </c>
      <c r="AF115" s="354"/>
      <c r="AG115" s="355"/>
      <c r="AH115" s="93">
        <f>IF(M115&gt;O115,1)+IF(P115&gt;R115,1)+IF(S115&gt;U115,1)+IF(V115&gt;X115,1)+IF(Y115&gt;AA115,1)+IF(AB115&gt;AD115,1)</f>
        <v>0</v>
      </c>
      <c r="AI115" s="94" t="s">
        <v>197</v>
      </c>
      <c r="AJ115" s="95">
        <f>M115+P115+S115+V115+Y115+AB115</f>
        <v>0</v>
      </c>
      <c r="AK115" s="96" t="str">
        <f>IF(AND(AJ115="",AL115=""),"",":")</f>
        <v>:</v>
      </c>
      <c r="AL115" s="97">
        <f>O115+R115+U115+X115+AA115+AD115</f>
        <v>0</v>
      </c>
      <c r="AM115" s="98" t="str">
        <f t="shared" ref="AM115:AM121" si="136">COUNTIF($AH$115:$AH$121,"&gt;"&amp;AH115)+COUNTIFS($AH$115:$AH$121,AH115,$AN$115:$AN$121,"&gt;"&amp;AN115)+COUNTIFS($AH$115:$AH$121,AH115,$AN$115:$AN$121,AN115,$BD$115:$BD$121,"&gt;"&amp;BD115)+COUNTIFS($AH$115:$AH$121,AH115,$AN$115:$AN$121,AN115,$BD$115:$BD$121,BD115,$BO$115:$BO$121,"&lt;"&amp;BO115)+COUNTIFS($AH$115:$AH$121,AH115,$AN$115:$AN$121,AN115,$BD$115:$BD$121,BD115,$BO$115:$BO$121,BO115,$AP$115:$AP$121,"&lt;"&amp;AP115)+1 &amp;"."</f>
        <v>1.</v>
      </c>
      <c r="AN115" s="99" t="str">
        <f t="shared" ref="AN115:AN121" si="137">IF(AW115&gt;BH115,1,)+IF(AX115&gt;BI115,1)+IF(AY115&gt;BJ115,1)+IF(AZ115&gt;BK115,1)+IF(BA115&gt;BL115,1)+IF(BB115&gt;BM115,1)+IF(BC115&gt;BN115,1,)&amp;" b"</f>
        <v>0 b</v>
      </c>
      <c r="AO115" s="100" t="str">
        <f t="shared" ref="AO115:AO121" si="138">CONCATENATE("("&amp;(BD115),":",(BO115)&amp;")")</f>
        <v>(0:0)</v>
      </c>
      <c r="AP115" s="101" t="str">
        <f t="shared" ref="AP115:AP121" si="139">IF(AND(BS115=TRUE,BR115&lt;&gt;0),"?","")</f>
        <v/>
      </c>
      <c r="AQ115" s="102"/>
      <c r="AR115" s="103" t="str">
        <f t="shared" ref="AR115:AR121" si="140">RANK(AH115,$AH$115:$AH$121,0)&amp;"."</f>
        <v>1.</v>
      </c>
      <c r="AS115" s="102"/>
      <c r="AT115" s="104"/>
      <c r="AU115" s="104">
        <f t="shared" ref="AU115:AU121" si="141">IF(AW115&gt;BH115,1,)+IF(AX115&gt;BI115,1)+IF(AY115&gt;BJ115,1)+IF(AZ115&gt;BK115,1)+IF(BA115&gt;BL115,1)+IF(BB115&gt;BM115,1)+IF(BC115&gt;BN115,1,)</f>
        <v>0</v>
      </c>
      <c r="AV115" s="104">
        <f t="shared" ref="AV115:AV121" si="142">RANK(AH115,$AH$115:$AH$121,0)</f>
        <v>1</v>
      </c>
      <c r="AW115" s="105"/>
      <c r="AX115" s="106">
        <f>IF(AV115=AV116,M115,"")</f>
        <v>0</v>
      </c>
      <c r="AY115" s="105">
        <f>IF(AV115=AV117,P115,"")</f>
        <v>0</v>
      </c>
      <c r="AZ115" s="105">
        <f>IF(AV115=AV118,S115,"")</f>
        <v>0</v>
      </c>
      <c r="BA115" s="105">
        <f>IF(AV115=AV119,V115,"")</f>
        <v>0</v>
      </c>
      <c r="BB115" s="105">
        <f>IF(AV115=AV120,Y115,"")</f>
        <v>0</v>
      </c>
      <c r="BC115" s="105">
        <f>IF(AV115=AV121,AB115,"")</f>
        <v>0</v>
      </c>
      <c r="BD115" s="105">
        <f t="shared" ref="BD115:BD121" si="143">SUM(AW115:BC115)</f>
        <v>0</v>
      </c>
      <c r="BE115" s="105">
        <f t="shared" ref="BE115:BE121" si="144">IF(BD115=0,0,"1")</f>
        <v>0</v>
      </c>
      <c r="BF115" s="105"/>
      <c r="BG115" s="104">
        <f t="shared" ref="BG115:BG121" si="145">RANK(AH115,$AH$115:$AH$121,0)</f>
        <v>1</v>
      </c>
      <c r="BH115" s="105"/>
      <c r="BI115" s="105">
        <f>IF(AV115=AV116,O115,"")</f>
        <v>0</v>
      </c>
      <c r="BJ115" s="105">
        <f>IF(AV115=AV117,R115,"")</f>
        <v>0</v>
      </c>
      <c r="BK115" s="105">
        <f>IF(AV115=AV118,U115,"")</f>
        <v>0</v>
      </c>
      <c r="BL115" s="105">
        <f>IF(AV115=AV119,X115,"")</f>
        <v>0</v>
      </c>
      <c r="BM115" s="105">
        <f>IF(AV115=AV120,AA115,"")</f>
        <v>0</v>
      </c>
      <c r="BN115" s="105">
        <f>IF(AV115=AV121,AD115,"")</f>
        <v>0</v>
      </c>
      <c r="BO115" s="105">
        <f t="shared" ref="BO115:BO121" si="146">SUM(BH115:BN115)</f>
        <v>0</v>
      </c>
      <c r="BQ115" s="10" t="b">
        <f t="shared" ref="BQ115:BQ121" si="147">IF(COUNTIF($AH$115:$AH$121,1)=1,1,IF(COUNTIF($AH$115:$AH$121,2)=2,2,IF(COUNTIF($AH$115:$AH$121,3)=3,3,IF(COUNTIF($AH$115:$AH$121,4)=4,4,IF(COUNTIF($AH$115:$AH$121,5)=5,5)))))</f>
        <v>0</v>
      </c>
      <c r="BR115" s="10">
        <f>AH115*(BD115*100+AH115+BO115*3.14+AU115*22)*10</f>
        <v>0</v>
      </c>
      <c r="BS115" s="10" t="b">
        <f t="shared" ref="BS115:BS121" si="148">COUNTIF($BR$115:$BR$121,BR115)&gt;1</f>
        <v>1</v>
      </c>
      <c r="BT115" s="10">
        <f>COUNTIF($AH$115:$AH$121,1)</f>
        <v>0</v>
      </c>
      <c r="BU115" s="10">
        <f>COUNTIF($AH$115:$AH$121,2)</f>
        <v>0</v>
      </c>
      <c r="BV115" s="10">
        <f>COUNTIF($AH$115:$AH$121,3)</f>
        <v>0</v>
      </c>
      <c r="BW115" s="10">
        <f>COUNTIF($AH$115:$AH$121,4)</f>
        <v>0</v>
      </c>
      <c r="BX115" s="10">
        <f>COUNTIF($AH$115:$AH$121,5)</f>
        <v>0</v>
      </c>
      <c r="BY115" s="10"/>
      <c r="BZ115" s="10" t="str">
        <f t="shared" ref="BZ115:BZ121" si="149">IF(AND(BS115=TRUE,BR115&lt;&gt;0),"1","")</f>
        <v/>
      </c>
      <c r="CA115" s="107"/>
      <c r="CB115" s="104">
        <f t="shared" ref="CB115:CB121" si="150">RANK(AH115,$AH$115:$AH$121,0)</f>
        <v>1</v>
      </c>
      <c r="CC115" s="105"/>
      <c r="CD115" s="106">
        <f>IF(CB115=CB116,1,"")</f>
        <v>1</v>
      </c>
      <c r="CE115" s="106">
        <f>IF(CB115=CB117,1,"")</f>
        <v>1</v>
      </c>
      <c r="CF115" s="106">
        <f>IF(CB115=CB118,1,"")</f>
        <v>1</v>
      </c>
      <c r="CG115" s="106">
        <f>IF(CB115=CB119,1,"")</f>
        <v>1</v>
      </c>
      <c r="CH115" s="106">
        <f>IF(CB115=CB120,1,"")</f>
        <v>1</v>
      </c>
      <c r="CI115" s="106">
        <f>IF(CB115=CB121,1,"")</f>
        <v>1</v>
      </c>
      <c r="CJ115" s="105">
        <f t="shared" ref="CJ115:CJ121" si="151">SUM(CC115:CI115)</f>
        <v>6</v>
      </c>
      <c r="CK115" s="107"/>
      <c r="CX115" s="11" t="s">
        <v>217</v>
      </c>
      <c r="CY115" s="109" t="str">
        <f>AM115</f>
        <v>1.</v>
      </c>
      <c r="CZ115" s="110" t="str">
        <f>H115</f>
        <v/>
      </c>
      <c r="DA115" s="110"/>
      <c r="DB115" s="44" t="str">
        <f>IF(DE115&gt;0,VLOOKUP(DC115,$CY$115:$CZ$121,2,0),"")</f>
        <v/>
      </c>
      <c r="DC115" s="27" t="s">
        <v>199</v>
      </c>
      <c r="DE115" s="44">
        <f>IF(CZ115="",0,6)</f>
        <v>0</v>
      </c>
    </row>
    <row r="116" spans="2:113" ht="30" customHeight="1" x14ac:dyDescent="0.55000000000000004">
      <c r="D116" s="85" t="str">
        <f>IF(B115=4,$DB$7,IF(B115=5,$DC$7,IF(B115=6,$DD$7,IF(B115=7,$DE$7,""))))</f>
        <v/>
      </c>
      <c r="E116" s="85" t="str">
        <f>IF(B115=4,$DB$8,IF(B115=5,$DC$8,IF(B115=6,$DD$8,IF(B115=7,$DE$8,""))))</f>
        <v/>
      </c>
      <c r="F116" s="85" t="str">
        <f>IF(B115=4,$DB$9,IF(B115=5,$DC$9,IF(B115=6,$DD$9,IF(B115=7,$DE$9,""))))</f>
        <v/>
      </c>
      <c r="G116" s="86" t="s">
        <v>29</v>
      </c>
      <c r="H116" s="358" t="str">
        <f>IF(AND(I36&lt;&gt;8,I38=6,CX42&gt;0,I48="ANO"),CS16,IF(AND(I36=8,I38=6,CX42&gt;0,I48="ANO"),CS11,IF(AND(I36&lt;&gt;16,I38=8,CX42&gt;0,I48="ANO"),CS18,IF(AND(I36=16,I38=8,CX42&gt;0,I48="ANO"),CS15,""))))</f>
        <v/>
      </c>
      <c r="I116" s="358"/>
      <c r="J116" s="111" t="str">
        <f>IF(O115="","",O115)</f>
        <v/>
      </c>
      <c r="K116" s="91" t="str">
        <f t="shared" ref="K116:K121" si="152">IF(AND(J116="",L116=""),"",":")</f>
        <v/>
      </c>
      <c r="L116" s="112" t="str">
        <f>IF(M115="","",M115)</f>
        <v/>
      </c>
      <c r="M116" s="87"/>
      <c r="N116" s="88"/>
      <c r="O116" s="89"/>
      <c r="P116" s="90"/>
      <c r="Q116" s="91" t="str">
        <f t="shared" si="134"/>
        <v/>
      </c>
      <c r="R116" s="92"/>
      <c r="S116" s="90"/>
      <c r="T116" s="91" t="str">
        <f>IF(AND(S116="",U116=""),"",":")</f>
        <v/>
      </c>
      <c r="U116" s="92"/>
      <c r="V116" s="90"/>
      <c r="W116" s="91" t="str">
        <f>IF(AND(V116="",X116=""),"",":")</f>
        <v/>
      </c>
      <c r="X116" s="92"/>
      <c r="Y116" s="90"/>
      <c r="Z116" s="91" t="str">
        <f>IF(AND(Y116="",AA116=""),"",":")</f>
        <v/>
      </c>
      <c r="AA116" s="92"/>
      <c r="AB116" s="90"/>
      <c r="AC116" s="91" t="str">
        <f t="shared" si="135"/>
        <v/>
      </c>
      <c r="AD116" s="92"/>
      <c r="AE116" s="359" t="s">
        <v>284</v>
      </c>
      <c r="AF116" s="354"/>
      <c r="AG116" s="355"/>
      <c r="AH116" s="93">
        <f>IF(M115&lt;O115,1)+IF(P116&gt;R116,1)+IF(S116&gt;U116,1)+IF(V116&gt;X116,1)+IF(Y116&gt;AA116,1)+IF(AB116&gt;AD116,1)</f>
        <v>0</v>
      </c>
      <c r="AI116" s="94" t="s">
        <v>197</v>
      </c>
      <c r="AJ116" s="95">
        <f>O115+P116+S116+V116+Y116+AB116</f>
        <v>0</v>
      </c>
      <c r="AK116" s="96" t="str">
        <f t="shared" ref="AK116:AK121" si="153">IF(AND(AJ116="",AL116=""),"",":")</f>
        <v>:</v>
      </c>
      <c r="AL116" s="97">
        <f>M115+R116+U116+X116+AA116+AD116</f>
        <v>0</v>
      </c>
      <c r="AM116" s="98" t="str">
        <f t="shared" si="136"/>
        <v>1.</v>
      </c>
      <c r="AN116" s="99" t="str">
        <f t="shared" si="137"/>
        <v>0 b</v>
      </c>
      <c r="AO116" s="100" t="str">
        <f t="shared" si="138"/>
        <v>(0:0)</v>
      </c>
      <c r="AP116" s="101" t="str">
        <f t="shared" si="139"/>
        <v/>
      </c>
      <c r="AQ116" s="102"/>
      <c r="AR116" s="103" t="str">
        <f t="shared" si="140"/>
        <v>1.</v>
      </c>
      <c r="AS116" s="102"/>
      <c r="AT116" s="104"/>
      <c r="AU116" s="104">
        <f t="shared" si="141"/>
        <v>0</v>
      </c>
      <c r="AV116" s="104">
        <f t="shared" si="142"/>
        <v>1</v>
      </c>
      <c r="AW116" s="106">
        <f>IF(AV115=AV116,O115,"")</f>
        <v>0</v>
      </c>
      <c r="AX116" s="105"/>
      <c r="AY116" s="105">
        <f>IF(AV116=AV117,P116,"")</f>
        <v>0</v>
      </c>
      <c r="AZ116" s="105">
        <f>IF(AV116=AV118,S116,"")</f>
        <v>0</v>
      </c>
      <c r="BA116" s="105">
        <f>IF(AV116=AV119,V116,"")</f>
        <v>0</v>
      </c>
      <c r="BB116" s="105">
        <f>IF(AV116=AV120,Y116,"")</f>
        <v>0</v>
      </c>
      <c r="BC116" s="105">
        <f>IF(AV116=AV121,AB116,"")</f>
        <v>0</v>
      </c>
      <c r="BD116" s="105">
        <f t="shared" si="143"/>
        <v>0</v>
      </c>
      <c r="BE116" s="105">
        <f t="shared" si="144"/>
        <v>0</v>
      </c>
      <c r="BF116" s="105"/>
      <c r="BG116" s="104">
        <f t="shared" si="145"/>
        <v>1</v>
      </c>
      <c r="BH116" s="105">
        <f>IF(AV115=AV116,M115,"")</f>
        <v>0</v>
      </c>
      <c r="BI116" s="105"/>
      <c r="BJ116" s="105">
        <f>IF(AV116=AV117,R116,"")</f>
        <v>0</v>
      </c>
      <c r="BK116" s="105">
        <f>IF(AV116=AV118,U116,"")</f>
        <v>0</v>
      </c>
      <c r="BL116" s="105">
        <f>IF(AV116=AV119,X116,"")</f>
        <v>0</v>
      </c>
      <c r="BM116" s="105">
        <f>IF(AV116=AV120,AA116,"")</f>
        <v>0</v>
      </c>
      <c r="BN116" s="105">
        <f>IF(AV116=AV121,AD116,"")</f>
        <v>0</v>
      </c>
      <c r="BO116" s="105">
        <f t="shared" si="146"/>
        <v>0</v>
      </c>
      <c r="BQ116" s="10" t="b">
        <f t="shared" si="147"/>
        <v>0</v>
      </c>
      <c r="BR116" s="10">
        <f t="shared" ref="BR116:BR121" si="154">AH116*(BD116*100+AH116+BO116*3.14+AU116*22)*10</f>
        <v>0</v>
      </c>
      <c r="BS116" s="10" t="b">
        <f t="shared" si="148"/>
        <v>1</v>
      </c>
      <c r="BT116" s="10">
        <f>IF(BT115&gt;=2,1,0)</f>
        <v>0</v>
      </c>
      <c r="BU116" s="10">
        <f>IF(BU115&gt;=2,1,0)</f>
        <v>0</v>
      </c>
      <c r="BV116" s="10">
        <f>IF(BV115&gt;=2,1,0)</f>
        <v>0</v>
      </c>
      <c r="BW116" s="10">
        <f>IF(BW115&gt;=2,1,0)</f>
        <v>0</v>
      </c>
      <c r="BX116" s="10">
        <f>IF(BX115&gt;=2,1,0)</f>
        <v>0</v>
      </c>
      <c r="BY116" s="10"/>
      <c r="BZ116" s="10" t="str">
        <f t="shared" si="149"/>
        <v/>
      </c>
      <c r="CA116" s="107"/>
      <c r="CB116" s="104">
        <f t="shared" si="150"/>
        <v>1</v>
      </c>
      <c r="CC116" s="106"/>
      <c r="CD116" s="105"/>
      <c r="CE116" s="106">
        <f>IF(CB116=CB117,1,"")</f>
        <v>1</v>
      </c>
      <c r="CF116" s="106">
        <f>IF(CB116=CB118,1,"")</f>
        <v>1</v>
      </c>
      <c r="CG116" s="106">
        <f>IF(CB116=CB119,1,"")</f>
        <v>1</v>
      </c>
      <c r="CH116" s="106">
        <f>IF(CB116=CB120,1,"")</f>
        <v>1</v>
      </c>
      <c r="CI116" s="106">
        <f>IF(CB116=CB121,1,"")</f>
        <v>1</v>
      </c>
      <c r="CJ116" s="105">
        <f t="shared" si="151"/>
        <v>5</v>
      </c>
      <c r="CK116" s="107"/>
      <c r="CY116" s="109" t="str">
        <f t="shared" ref="CY116:CY121" si="155">AM116</f>
        <v>1.</v>
      </c>
      <c r="CZ116" s="110" t="str">
        <f t="shared" ref="CZ116:CZ121" si="156">H116</f>
        <v/>
      </c>
      <c r="DA116" s="110"/>
      <c r="DB116" s="44" t="str">
        <f t="shared" ref="DB116:DB121" si="157">IF(DE116&gt;0,VLOOKUP(DC116,$CY$115:$CZ$121,2,0),"")</f>
        <v/>
      </c>
      <c r="DC116" s="27" t="s">
        <v>202</v>
      </c>
      <c r="DE116" s="44">
        <f t="shared" ref="DE116:DE121" si="158">IF(CZ116="",0,6)</f>
        <v>0</v>
      </c>
    </row>
    <row r="117" spans="2:113" ht="30" customHeight="1" x14ac:dyDescent="0.55000000000000004">
      <c r="D117" s="85" t="str">
        <f>IF(B115=5,$DC$10,IF(B115=6,$DD$10,IF(B115=7,$DE$10,"")))</f>
        <v/>
      </c>
      <c r="E117" s="85" t="str">
        <f>IF(B115=5,$DC$11,IF(B115=6,$DD$11,IF(B115=7,$DE$11,"")))</f>
        <v/>
      </c>
      <c r="F117" s="85" t="str">
        <f>IF(B115=5,$DC$12,IF(B115=6,$DD$12,IF(B115=7,$DE$12,"")))</f>
        <v/>
      </c>
      <c r="G117" s="86" t="s">
        <v>36</v>
      </c>
      <c r="H117" s="358" t="str">
        <f>IF(AND(I38=6,CX42&gt;0,I48="ANO"),CS22,IF(AND(I38=8,CX42&gt;0,I48="ANO"),CS26,""))</f>
        <v/>
      </c>
      <c r="I117" s="358"/>
      <c r="J117" s="111" t="str">
        <f>IF(R115="","",R115)</f>
        <v/>
      </c>
      <c r="K117" s="91" t="str">
        <f t="shared" si="152"/>
        <v/>
      </c>
      <c r="L117" s="112" t="str">
        <f>IF(P115="","",P115)</f>
        <v/>
      </c>
      <c r="M117" s="111" t="str">
        <f>IF(R116="","",R116)</f>
        <v/>
      </c>
      <c r="N117" s="91" t="str">
        <f>IF(AND(M117="",O117=""),"",":")</f>
        <v/>
      </c>
      <c r="O117" s="112" t="str">
        <f>IF(P116="","",P116)</f>
        <v/>
      </c>
      <c r="P117" s="87"/>
      <c r="Q117" s="88"/>
      <c r="R117" s="89"/>
      <c r="S117" s="90"/>
      <c r="T117" s="91" t="str">
        <f>IF(AND(S117="",U117=""),"",":")</f>
        <v/>
      </c>
      <c r="U117" s="92"/>
      <c r="V117" s="90"/>
      <c r="W117" s="91" t="str">
        <f>IF(AND(V117="",X117=""),"",":")</f>
        <v/>
      </c>
      <c r="X117" s="92"/>
      <c r="Y117" s="90"/>
      <c r="Z117" s="91" t="str">
        <f>IF(AND(Y117="",AA117=""),"",":")</f>
        <v/>
      </c>
      <c r="AA117" s="92"/>
      <c r="AB117" s="90"/>
      <c r="AC117" s="91" t="str">
        <f t="shared" si="135"/>
        <v/>
      </c>
      <c r="AD117" s="92"/>
      <c r="AE117" s="359" t="s">
        <v>285</v>
      </c>
      <c r="AF117" s="354"/>
      <c r="AG117" s="355"/>
      <c r="AH117" s="93">
        <f>IF(R115&gt;P115,1)+IF(R116&gt;P116,1)+IF(S117&gt;U117,1)+IF(V117&gt;X117,1)+IF(Y117&gt;AA117,1)+IF(AB117&gt;AD117,1)</f>
        <v>0</v>
      </c>
      <c r="AI117" s="94" t="s">
        <v>197</v>
      </c>
      <c r="AJ117" s="95">
        <f>R115+R116+S117+V117+Y117+AB117</f>
        <v>0</v>
      </c>
      <c r="AK117" s="96" t="str">
        <f t="shared" si="153"/>
        <v>:</v>
      </c>
      <c r="AL117" s="97">
        <f>P115+P116+U117+X117+AA117+AD117</f>
        <v>0</v>
      </c>
      <c r="AM117" s="98" t="str">
        <f t="shared" si="136"/>
        <v>1.</v>
      </c>
      <c r="AN117" s="99" t="str">
        <f t="shared" si="137"/>
        <v>0 b</v>
      </c>
      <c r="AO117" s="100" t="str">
        <f t="shared" si="138"/>
        <v>(0:0)</v>
      </c>
      <c r="AP117" s="101" t="str">
        <f t="shared" si="139"/>
        <v/>
      </c>
      <c r="AQ117" s="102"/>
      <c r="AR117" s="103" t="str">
        <f t="shared" si="140"/>
        <v>1.</v>
      </c>
      <c r="AS117" s="102"/>
      <c r="AT117" s="104"/>
      <c r="AU117" s="104">
        <f t="shared" si="141"/>
        <v>0</v>
      </c>
      <c r="AV117" s="104">
        <f t="shared" si="142"/>
        <v>1</v>
      </c>
      <c r="AW117" s="106">
        <f>IF(AV115=AV117,R115,"")</f>
        <v>0</v>
      </c>
      <c r="AX117" s="105">
        <f>IF(AV116=AV117,R116,"")</f>
        <v>0</v>
      </c>
      <c r="AY117" s="105"/>
      <c r="AZ117" s="105">
        <f>IF(AV117=AV118,S117,"")</f>
        <v>0</v>
      </c>
      <c r="BA117" s="105">
        <f>IF(AV117=AV119,V117,"")</f>
        <v>0</v>
      </c>
      <c r="BB117" s="105">
        <f>IF(AV117=AV120,Y117,"")</f>
        <v>0</v>
      </c>
      <c r="BC117" s="105">
        <f>IF(AV117=AV121,AB117,"")</f>
        <v>0</v>
      </c>
      <c r="BD117" s="105">
        <f t="shared" si="143"/>
        <v>0</v>
      </c>
      <c r="BE117" s="105">
        <f t="shared" si="144"/>
        <v>0</v>
      </c>
      <c r="BF117" s="105"/>
      <c r="BG117" s="104">
        <f t="shared" si="145"/>
        <v>1</v>
      </c>
      <c r="BH117" s="105">
        <f>IF(AV115=AV117,P115,"")</f>
        <v>0</v>
      </c>
      <c r="BI117" s="105">
        <f>IF(AV116=AV117,P116,"")</f>
        <v>0</v>
      </c>
      <c r="BJ117" s="105"/>
      <c r="BK117" s="105">
        <f>IF(AV117=AV118,U117,"")</f>
        <v>0</v>
      </c>
      <c r="BL117" s="105">
        <f>IF(AV117=AV119,X117,"")</f>
        <v>0</v>
      </c>
      <c r="BM117" s="105">
        <f>IF(AV117=AV120,AA117,"")</f>
        <v>0</v>
      </c>
      <c r="BN117" s="105">
        <f>IF(AV117=AV121,AD117,"")</f>
        <v>0</v>
      </c>
      <c r="BO117" s="105">
        <f t="shared" si="146"/>
        <v>0</v>
      </c>
      <c r="BQ117" s="10" t="b">
        <f t="shared" si="147"/>
        <v>0</v>
      </c>
      <c r="BR117" s="10">
        <f t="shared" si="154"/>
        <v>0</v>
      </c>
      <c r="BS117" s="10" t="b">
        <f t="shared" si="148"/>
        <v>1</v>
      </c>
      <c r="BT117" s="10">
        <v>1</v>
      </c>
      <c r="BU117" s="10">
        <v>2</v>
      </c>
      <c r="BV117" s="10">
        <v>3</v>
      </c>
      <c r="BW117" s="10">
        <v>4</v>
      </c>
      <c r="BX117" s="10">
        <v>5</v>
      </c>
      <c r="BY117" s="10"/>
      <c r="BZ117" s="10" t="str">
        <f t="shared" si="149"/>
        <v/>
      </c>
      <c r="CA117" s="107"/>
      <c r="CB117" s="104">
        <f t="shared" si="150"/>
        <v>1</v>
      </c>
      <c r="CC117" s="106"/>
      <c r="CD117" s="105"/>
      <c r="CE117" s="105"/>
      <c r="CF117" s="106">
        <f>IF(CB117=CB118,1,"")</f>
        <v>1</v>
      </c>
      <c r="CG117" s="106">
        <f>IF(CB117=CB119,1,"")</f>
        <v>1</v>
      </c>
      <c r="CH117" s="106">
        <f>IF(CB117=CB120,1,"")</f>
        <v>1</v>
      </c>
      <c r="CI117" s="106">
        <f>IF(CB117=CB121,1,"")</f>
        <v>1</v>
      </c>
      <c r="CJ117" s="105">
        <f t="shared" si="151"/>
        <v>4</v>
      </c>
      <c r="CK117" s="107"/>
      <c r="CY117" s="109" t="str">
        <f t="shared" si="155"/>
        <v>1.</v>
      </c>
      <c r="CZ117" s="110" t="str">
        <f t="shared" si="156"/>
        <v/>
      </c>
      <c r="DA117" s="110"/>
      <c r="DB117" s="44" t="str">
        <f t="shared" si="157"/>
        <v/>
      </c>
      <c r="DC117" s="27" t="s">
        <v>203</v>
      </c>
      <c r="DE117" s="44">
        <f t="shared" si="158"/>
        <v>0</v>
      </c>
    </row>
    <row r="118" spans="2:113" ht="30" customHeight="1" x14ac:dyDescent="0.55000000000000004">
      <c r="D118" s="85" t="str">
        <f>IF(B115=5,$DC$13,IF(B115=6,$DD$13,IF(B115=7,$DE$13,"")))</f>
        <v/>
      </c>
      <c r="E118" s="85" t="str">
        <f>IF(B115=6,$DD$14,IF(B115=7,$DE$14,""))</f>
        <v/>
      </c>
      <c r="F118" s="85" t="str">
        <f>IF(B115=6,$DD$15,IF(B115=7,$DE$15,""))</f>
        <v/>
      </c>
      <c r="G118" s="86" t="s">
        <v>4</v>
      </c>
      <c r="H118" s="358" t="str">
        <f>IF(AND(I38=6,I48="ANO",(CV40+CV42+CV44+CV46+CX40)&gt;19,CX42&gt;3),CS28,IF(AND(I38=6,I48="ANO",(CV40+CV42+CV44+CV46+CX40)&gt;18,CX42&gt;3),CS27,IF(AND(I38=6,I48="ANO",(CV40+CV42+CV44+CV46+CX40)&gt;17,CX42&gt;3),CS26,IF(AND(I38=6,I48="ANO",(CV40+CV42+CV44+CV46+CX40)&gt;16,CX42&gt;3),CS25,IF(AND(I38=6,I48="ANO",(CV40+CV42+CV44+CV46+CX40)&gt;15,CX42&gt;3),CS24,IF(AND(I38=6,I48="ANO",(CV40+CV42+CV44+CV46+CX40)&gt;14,CX42&gt;3),CS23,IF(AND(I38=8,I48="ANO",(CV40+CV42+CV44+CV46+CX40)&gt;19,CX42&gt;3),CS34,IF(AND(I38=8,I48="ANO",(CV40+CV42+CV44+CV46+CX40)&gt;18,CX42&gt;3),CS33,IF(AND(I38=8,I48="ANO",(CV40+CV42+CV44+CV46+CX40)&gt;17,CX42&gt;3),CS32,IF(AND(I38=8,I48="ANO",(CV40+CV42+CV44+CV46+CX40)&gt;16,CX42&gt;3),CS31,IF(AND(I38=8,I48="ANO",(CV40+CV42+CV44+CV46+CX40)&gt;15,CX42&gt;3),CS30,IF(AND(I38=8,I48="ANO",(CV40+CV42+CV44+CV46+CX40)&gt;14,CX42&gt;3),CS29,""))))))))))))</f>
        <v/>
      </c>
      <c r="I118" s="358"/>
      <c r="J118" s="111" t="str">
        <f>IF(U115="","",U115)</f>
        <v/>
      </c>
      <c r="K118" s="91" t="str">
        <f t="shared" si="152"/>
        <v/>
      </c>
      <c r="L118" s="112" t="str">
        <f>IF(S115="","",S115)</f>
        <v/>
      </c>
      <c r="M118" s="111" t="str">
        <f>IF(U116="","",U116)</f>
        <v/>
      </c>
      <c r="N118" s="91" t="str">
        <f>IF(AND(M118="",O118=""),"",":")</f>
        <v/>
      </c>
      <c r="O118" s="112" t="str">
        <f>IF(S116="","",S116)</f>
        <v/>
      </c>
      <c r="P118" s="111" t="str">
        <f>IF(U117="","",U117)</f>
        <v/>
      </c>
      <c r="Q118" s="91" t="str">
        <f t="shared" si="134"/>
        <v/>
      </c>
      <c r="R118" s="112" t="str">
        <f>IF(S117="","",S117)</f>
        <v/>
      </c>
      <c r="S118" s="87"/>
      <c r="T118" s="88"/>
      <c r="U118" s="89"/>
      <c r="V118" s="90"/>
      <c r="W118" s="91" t="str">
        <f>IF(AND(V118="",X118=""),"",":")</f>
        <v/>
      </c>
      <c r="X118" s="92"/>
      <c r="Y118" s="90"/>
      <c r="Z118" s="91" t="str">
        <f>IF(AND(Y118="",AA118=""),"",":")</f>
        <v/>
      </c>
      <c r="AA118" s="92"/>
      <c r="AB118" s="90"/>
      <c r="AC118" s="91" t="str">
        <f t="shared" si="135"/>
        <v/>
      </c>
      <c r="AD118" s="92"/>
      <c r="AE118" s="353" t="s">
        <v>281</v>
      </c>
      <c r="AF118" s="354"/>
      <c r="AG118" s="355"/>
      <c r="AH118" s="93">
        <f>IF(U115&gt;S115,1)+IF(U116&gt;S116,1)+IF(U117&gt;S117,1)+IF(V118&gt;X118,1)+IF(Y118&gt;AA118,1)+IF(AB118&gt;AD118,1)</f>
        <v>0</v>
      </c>
      <c r="AI118" s="94" t="s">
        <v>197</v>
      </c>
      <c r="AJ118" s="95">
        <f>U115+U116+U117+V118+Y118+AB118</f>
        <v>0</v>
      </c>
      <c r="AK118" s="96" t="str">
        <f t="shared" si="153"/>
        <v>:</v>
      </c>
      <c r="AL118" s="97">
        <f>S115+S116+S117+X118+AA118+AD118</f>
        <v>0</v>
      </c>
      <c r="AM118" s="98" t="str">
        <f t="shared" si="136"/>
        <v>1.</v>
      </c>
      <c r="AN118" s="99" t="str">
        <f t="shared" si="137"/>
        <v>0 b</v>
      </c>
      <c r="AO118" s="100" t="str">
        <f t="shared" si="138"/>
        <v>(0:0)</v>
      </c>
      <c r="AP118" s="101" t="str">
        <f t="shared" si="139"/>
        <v/>
      </c>
      <c r="AQ118" s="102"/>
      <c r="AR118" s="103" t="str">
        <f t="shared" si="140"/>
        <v>1.</v>
      </c>
      <c r="AS118" s="102"/>
      <c r="AT118" s="104"/>
      <c r="AU118" s="104">
        <f t="shared" si="141"/>
        <v>0</v>
      </c>
      <c r="AV118" s="104">
        <f t="shared" si="142"/>
        <v>1</v>
      </c>
      <c r="AW118" s="106">
        <f>IF(AV115=AV118,U115,"")</f>
        <v>0</v>
      </c>
      <c r="AX118" s="105">
        <f>IF(AV116=AV118,U116,"")</f>
        <v>0</v>
      </c>
      <c r="AY118" s="105">
        <f>IF(AV117=AV118,U117,"")</f>
        <v>0</v>
      </c>
      <c r="AZ118" s="105"/>
      <c r="BA118" s="105">
        <f>IF(AV118=AV119,V118,"")</f>
        <v>0</v>
      </c>
      <c r="BB118" s="105">
        <f>IF(AV118=AV120,Y118,"")</f>
        <v>0</v>
      </c>
      <c r="BC118" s="105">
        <f>IF(AV118=AV121,AB118,"")</f>
        <v>0</v>
      </c>
      <c r="BD118" s="105">
        <f t="shared" si="143"/>
        <v>0</v>
      </c>
      <c r="BE118" s="105">
        <f t="shared" si="144"/>
        <v>0</v>
      </c>
      <c r="BF118" s="105"/>
      <c r="BG118" s="104">
        <f t="shared" si="145"/>
        <v>1</v>
      </c>
      <c r="BH118" s="105">
        <f>IF(AV115=AV118,S115,"")</f>
        <v>0</v>
      </c>
      <c r="BI118" s="105">
        <f>IF(AV116=AV118,S116,"")</f>
        <v>0</v>
      </c>
      <c r="BJ118" s="105">
        <f>IF(AV117=AV118,S117,"")</f>
        <v>0</v>
      </c>
      <c r="BK118" s="105"/>
      <c r="BL118" s="105">
        <f>IF(AV118=AV119,X118,"")</f>
        <v>0</v>
      </c>
      <c r="BM118" s="105">
        <f>IF(AV118=AV120,AA118,"")</f>
        <v>0</v>
      </c>
      <c r="BN118" s="105">
        <f>IF(AV118=AV121,AD118,"")</f>
        <v>0</v>
      </c>
      <c r="BO118" s="105">
        <f t="shared" si="146"/>
        <v>0</v>
      </c>
      <c r="BQ118" s="10" t="b">
        <f t="shared" si="147"/>
        <v>0</v>
      </c>
      <c r="BR118" s="10">
        <f t="shared" si="154"/>
        <v>0</v>
      </c>
      <c r="BS118" s="10" t="b">
        <f t="shared" si="148"/>
        <v>1</v>
      </c>
      <c r="BT118" s="10">
        <f>BT116*BT117</f>
        <v>0</v>
      </c>
      <c r="BU118" s="10">
        <f>BU116*BU117</f>
        <v>0</v>
      </c>
      <c r="BV118" s="10">
        <f>BV116*BV117</f>
        <v>0</v>
      </c>
      <c r="BW118" s="10">
        <f>BW116*BW117</f>
        <v>0</v>
      </c>
      <c r="BX118" s="10">
        <f>BX116*BX117</f>
        <v>0</v>
      </c>
      <c r="BY118" s="10"/>
      <c r="BZ118" s="10" t="str">
        <f t="shared" si="149"/>
        <v/>
      </c>
      <c r="CA118" s="107"/>
      <c r="CB118" s="104">
        <f t="shared" si="150"/>
        <v>1</v>
      </c>
      <c r="CC118" s="106"/>
      <c r="CD118" s="105"/>
      <c r="CE118" s="105"/>
      <c r="CF118" s="105"/>
      <c r="CG118" s="106">
        <f>IF(CB118=CB119,1,"")</f>
        <v>1</v>
      </c>
      <c r="CH118" s="106">
        <f>IF(CB118=CB120,1,"")</f>
        <v>1</v>
      </c>
      <c r="CI118" s="106">
        <f>IF(CB118=CB121,1,"")</f>
        <v>1</v>
      </c>
      <c r="CJ118" s="105">
        <f t="shared" si="151"/>
        <v>3</v>
      </c>
      <c r="CK118" s="107"/>
      <c r="CY118" s="109" t="str">
        <f t="shared" si="155"/>
        <v>1.</v>
      </c>
      <c r="CZ118" s="110" t="str">
        <f t="shared" si="156"/>
        <v/>
      </c>
      <c r="DA118" s="110"/>
      <c r="DB118" s="44" t="str">
        <f t="shared" si="157"/>
        <v/>
      </c>
      <c r="DC118" s="27" t="s">
        <v>204</v>
      </c>
      <c r="DE118" s="44">
        <f t="shared" si="158"/>
        <v>0</v>
      </c>
      <c r="DF118" s="44">
        <f>IF($CZ$118="",0,6)</f>
        <v>0</v>
      </c>
      <c r="DG118" s="44">
        <f>IF($CZ$118="",0,6)</f>
        <v>0</v>
      </c>
      <c r="DH118" s="44">
        <f>IF($CZ$118="",0,6)</f>
        <v>0</v>
      </c>
      <c r="DI118" s="44">
        <f>IF($CZ$118="",0,6)</f>
        <v>0</v>
      </c>
    </row>
    <row r="119" spans="2:113" ht="30" customHeight="1" x14ac:dyDescent="0.55000000000000004">
      <c r="D119" s="85" t="str">
        <f>IF(B115=6,$DD$16,IF(B115=7,$DE$16,""))</f>
        <v/>
      </c>
      <c r="E119" s="85" t="str">
        <f>IF(B115=6,$DD$17,IF(B115=7,$DE$17,""))</f>
        <v/>
      </c>
      <c r="F119" s="85" t="str">
        <f>IF(B115=6,$DD$18,IF(B115=7,$DE$18,""))</f>
        <v/>
      </c>
      <c r="G119" s="86" t="s">
        <v>5</v>
      </c>
      <c r="H119" s="358" t="str">
        <f>IF(AND(I38=6,I48="ANO",(CV40+CV42+CV44+CV46+CX40)&gt;24,CX42&gt;4),CS34,IF(AND(I38=6,I48="ANO",(CV40+CV42+CV44+CV46+CX40)&gt;23,CX42&gt;4),CS33,IF(AND(I38=6,I48="ANO",(CV40+CV42+CV44+CV46+CX40)&gt;22,CX42&gt;4),CS32,IF(AND(I38=6,I48="ANO",(CV40+CV42+CV44+CV46+CX40)&gt;21,CX42&gt;4),CS31,IF(AND(I38=6,I48="ANO",(CV40+CV42+CV44+CV46+CX40)&gt;20,CX42&gt;4),CS30,IF(AND(I38=6,I48="ANO",(CV40+CV42+CV44+CV46+CX40)&gt;19,CX42&gt;4),CS29,IF(AND(I38=8,I48="ANO",(CV40+CV42+CV44+CV46+CX40)&gt;24,CX42&gt;4),CS42,IF(AND(I38=8,I48="ANO",(CV40+CV42+CV44+CV46+CX40)&gt;23,CX42&gt;4),CS41,IF(AND(I38=8,I48="ANO",(CV40+CV42+CV44+CV46+CX40)&gt;22,CX42&gt;4),CS40,IF(AND(I38=8,I48="ANO",(CV40+CV42+CV44+CV46+CX40)&gt;21,CX42&gt;4),CS39,IF(AND(I38=8,I48="ANO",(CV40+CV42+CV44+CV46+CX40)&gt;20,CX42&gt;4),CS38,IF(AND(I38=8,I48="ANO",(CV40+CV42+CV44+CV46+CX40)&gt;19,CX42&gt;4),CS37,""))))))))))))</f>
        <v/>
      </c>
      <c r="I119" s="358"/>
      <c r="J119" s="111" t="str">
        <f>IF(X115="","",X115)</f>
        <v/>
      </c>
      <c r="K119" s="91" t="str">
        <f t="shared" si="152"/>
        <v/>
      </c>
      <c r="L119" s="112" t="str">
        <f>IF(V115="","",V115)</f>
        <v/>
      </c>
      <c r="M119" s="111" t="str">
        <f>IF(X116="","",X116)</f>
        <v/>
      </c>
      <c r="N119" s="91" t="str">
        <f>IF(AND(M119="",O119=""),"",":")</f>
        <v/>
      </c>
      <c r="O119" s="112" t="str">
        <f>IF(V116="","",V116)</f>
        <v/>
      </c>
      <c r="P119" s="111" t="str">
        <f>IF(X117="","",X117)</f>
        <v/>
      </c>
      <c r="Q119" s="91" t="str">
        <f t="shared" si="134"/>
        <v/>
      </c>
      <c r="R119" s="112" t="str">
        <f>IF(V117="","",V117)</f>
        <v/>
      </c>
      <c r="S119" s="111" t="str">
        <f>IF(X118="","",X118)</f>
        <v/>
      </c>
      <c r="T119" s="91" t="str">
        <f>IF(AND(S119="",U119=""),"",":")</f>
        <v/>
      </c>
      <c r="U119" s="112" t="str">
        <f>IF(V118="","",V118)</f>
        <v/>
      </c>
      <c r="V119" s="87"/>
      <c r="W119" s="88"/>
      <c r="X119" s="89"/>
      <c r="Y119" s="90"/>
      <c r="Z119" s="91" t="str">
        <f>IF(AND(Y119="",AA119=""),"",":")</f>
        <v/>
      </c>
      <c r="AA119" s="92"/>
      <c r="AB119" s="90"/>
      <c r="AC119" s="91" t="str">
        <f t="shared" si="135"/>
        <v/>
      </c>
      <c r="AD119" s="92"/>
      <c r="AE119" s="359" t="s">
        <v>286</v>
      </c>
      <c r="AF119" s="354"/>
      <c r="AG119" s="355"/>
      <c r="AH119" s="93">
        <f>IF(X115&gt;V115,1)+IF(X116&gt;V116,1)+IF(X117&gt;V117,1)+IF(X118&gt;V118,1)+IF(Y119&gt;AA119,1)+IF(AB119&gt;AD119,1)</f>
        <v>0</v>
      </c>
      <c r="AI119" s="94" t="s">
        <v>197</v>
      </c>
      <c r="AJ119" s="95">
        <f>X115+X116+X117+X118+Y119+AB119</f>
        <v>0</v>
      </c>
      <c r="AK119" s="96" t="str">
        <f t="shared" si="153"/>
        <v>:</v>
      </c>
      <c r="AL119" s="97">
        <f>V115+V116+V117+V118+AA119+AD119</f>
        <v>0</v>
      </c>
      <c r="AM119" s="98" t="str">
        <f t="shared" si="136"/>
        <v>1.</v>
      </c>
      <c r="AN119" s="99" t="str">
        <f t="shared" si="137"/>
        <v>0 b</v>
      </c>
      <c r="AO119" s="100" t="str">
        <f t="shared" si="138"/>
        <v>(0:0)</v>
      </c>
      <c r="AP119" s="101" t="str">
        <f t="shared" si="139"/>
        <v/>
      </c>
      <c r="AQ119" s="102"/>
      <c r="AR119" s="103" t="str">
        <f t="shared" si="140"/>
        <v>1.</v>
      </c>
      <c r="AS119" s="102"/>
      <c r="AT119" s="104"/>
      <c r="AU119" s="104">
        <f t="shared" si="141"/>
        <v>0</v>
      </c>
      <c r="AV119" s="104">
        <f t="shared" si="142"/>
        <v>1</v>
      </c>
      <c r="AW119" s="106">
        <f>IF(AV115=AV119,X115,"")</f>
        <v>0</v>
      </c>
      <c r="AX119" s="105">
        <f>IF(AV116=AV119,X116,"")</f>
        <v>0</v>
      </c>
      <c r="AY119" s="105">
        <f>IF(AV117=AV119,X117,"")</f>
        <v>0</v>
      </c>
      <c r="AZ119" s="105">
        <f>IF(AV118=AV119,X118,"")</f>
        <v>0</v>
      </c>
      <c r="BA119" s="105"/>
      <c r="BB119" s="105">
        <f>IF(AV119=AV120,Y119,"")</f>
        <v>0</v>
      </c>
      <c r="BC119" s="105">
        <f>IF(AV119=AV121,AB119,"")</f>
        <v>0</v>
      </c>
      <c r="BD119" s="105">
        <f t="shared" si="143"/>
        <v>0</v>
      </c>
      <c r="BE119" s="105">
        <f t="shared" si="144"/>
        <v>0</v>
      </c>
      <c r="BF119" s="105"/>
      <c r="BG119" s="104">
        <f t="shared" si="145"/>
        <v>1</v>
      </c>
      <c r="BH119" s="105">
        <f>IF(AV115=AV119,V115,"")</f>
        <v>0</v>
      </c>
      <c r="BI119" s="105">
        <f>IF(AV116=AV119,V116,"")</f>
        <v>0</v>
      </c>
      <c r="BJ119" s="105">
        <f>IF(AV117=AV119,V117,"")</f>
        <v>0</v>
      </c>
      <c r="BK119" s="105">
        <f>IF(AV118=AV119,V118,"")</f>
        <v>0</v>
      </c>
      <c r="BL119" s="105"/>
      <c r="BM119" s="105">
        <f>IF(AV119=AV120,AA119,"")</f>
        <v>0</v>
      </c>
      <c r="BN119" s="105">
        <f>IF(AV119=AV121,AD119,"")</f>
        <v>0</v>
      </c>
      <c r="BO119" s="105">
        <f t="shared" si="146"/>
        <v>0</v>
      </c>
      <c r="BQ119" s="10" t="b">
        <f t="shared" si="147"/>
        <v>0</v>
      </c>
      <c r="BR119" s="10">
        <f t="shared" si="154"/>
        <v>0</v>
      </c>
      <c r="BS119" s="10" t="b">
        <f t="shared" si="148"/>
        <v>1</v>
      </c>
      <c r="BT119" s="10" t="str">
        <f>IF(BT118=0,"",BT118)</f>
        <v/>
      </c>
      <c r="BU119" s="10" t="str">
        <f>IF(BU118=0,"",BU118)</f>
        <v/>
      </c>
      <c r="BV119" s="10" t="str">
        <f>IF(BV118=0,"",BV118)</f>
        <v/>
      </c>
      <c r="BW119" s="10" t="str">
        <f>IF(BW118=0,"",BW118)</f>
        <v/>
      </c>
      <c r="BX119" s="10" t="str">
        <f>IF(BX118=0,"",BX118)</f>
        <v/>
      </c>
      <c r="BY119" s="10"/>
      <c r="BZ119" s="10" t="str">
        <f t="shared" si="149"/>
        <v/>
      </c>
      <c r="CA119" s="107"/>
      <c r="CB119" s="104">
        <f t="shared" si="150"/>
        <v>1</v>
      </c>
      <c r="CC119" s="106"/>
      <c r="CD119" s="105"/>
      <c r="CE119" s="105"/>
      <c r="CF119" s="105"/>
      <c r="CG119" s="105"/>
      <c r="CH119" s="106">
        <f>IF(CB119=CB120,1,"")</f>
        <v>1</v>
      </c>
      <c r="CI119" s="106">
        <f>IF(CB119=CB121,1,"")</f>
        <v>1</v>
      </c>
      <c r="CJ119" s="105">
        <f t="shared" si="151"/>
        <v>2</v>
      </c>
      <c r="CK119" s="107"/>
      <c r="CY119" s="109" t="str">
        <f t="shared" si="155"/>
        <v>1.</v>
      </c>
      <c r="CZ119" s="110" t="str">
        <f t="shared" si="156"/>
        <v/>
      </c>
      <c r="DA119" s="110"/>
      <c r="DB119" s="44" t="str">
        <f t="shared" si="157"/>
        <v/>
      </c>
      <c r="DC119" s="27" t="s">
        <v>205</v>
      </c>
      <c r="DE119" s="44">
        <f t="shared" si="158"/>
        <v>0</v>
      </c>
      <c r="DF119" s="44">
        <f>IF($CZ$119="",0,6)</f>
        <v>0</v>
      </c>
      <c r="DG119" s="44">
        <f>IF($CZ$119="",0,6)</f>
        <v>0</v>
      </c>
      <c r="DH119" s="44">
        <f>IF($CZ$119="",0,6)</f>
        <v>0</v>
      </c>
      <c r="DI119" s="44">
        <f>IF($CZ$119="",0,6)</f>
        <v>0</v>
      </c>
    </row>
    <row r="120" spans="2:113" ht="30" customHeight="1" x14ac:dyDescent="0.55000000000000004">
      <c r="D120" s="85" t="str">
        <f>IF(B115=7,$DE$19,"")</f>
        <v/>
      </c>
      <c r="E120" s="85" t="str">
        <f>IF(B115=7,$DE$20,"")</f>
        <v/>
      </c>
      <c r="F120" s="85" t="str">
        <f>IF(B115=7,$DE$21,"")</f>
        <v/>
      </c>
      <c r="G120" s="86" t="s">
        <v>6</v>
      </c>
      <c r="H120" s="358" t="str">
        <f>IF(AND(I38=6,I48="ANO",(CV40+CV42+CV44+CV46+CX40)&gt;29,CX42&gt;5),CS40,IF(AND(I38=6,I48="ANO",(CV40+CV42+CV44+CV46+CX40)&gt;28,CX42&gt;5),CS39,IF(AND(I38=6,I48="ANO",(CV40+CV42+CV44+CV46+CX40)&gt;27,CX42&gt;5),CS38,IF(AND(I38=6,I48="ANO",(CV40+CV42+CV44+CV46+CX40)&gt;26,CX42&gt;5),CS37,IF(AND(I38=6,I48="ANO",(CV40+CV42+CV44+CV46+CX40)&gt;25,CX42&gt;5),CS36,IF(AND(I38=6,I48="ANO",(CV40+CV42+CV44+CV46+CX40)&gt;24,CX42&gt;5),CS35,IF(AND(I38=8,I48="ANO",(CV40+CV42+CV44+CV46+CX40)&gt;29,CX42&gt;5),CS50,IF(AND(I38=8,I48="ANO",(CV40+CV42+CV44+CV46+CX40)&gt;28,CX42&gt;5),CS49,IF(AND(I38=8,I48="ANO",(CV40+CV42+CV44+CV46+CX40)&gt;27,CX42&gt;5),CS48,IF(AND(I38=8,I48="ANO",(CV40+CV42+CV44+CV46+CX40)&gt;26,CX42&gt;5),CS47,IF(AND(I38=8,I48="ANO",(CV40+CV42+CV44+CV46+CX40)&gt;25,CX42&gt;5),CS46,IF(AND(I38=8,I48="ANO",(CV40+CV42+CV44+CV46+CX40)&gt;24,CX42&gt;5),CS45,""))))))))))))</f>
        <v/>
      </c>
      <c r="I120" s="358"/>
      <c r="J120" s="111" t="str">
        <f>IF(AA115="","",AA115)</f>
        <v/>
      </c>
      <c r="K120" s="91" t="str">
        <f t="shared" si="152"/>
        <v/>
      </c>
      <c r="L120" s="112" t="str">
        <f>IF(Y115="","",Y115)</f>
        <v/>
      </c>
      <c r="M120" s="111" t="str">
        <f>IF(AA116="","",AA116)</f>
        <v/>
      </c>
      <c r="N120" s="91" t="str">
        <f>IF(AND(M120="",O120=""),"",":")</f>
        <v/>
      </c>
      <c r="O120" s="112" t="str">
        <f>IF(Y116="","",Y116)</f>
        <v/>
      </c>
      <c r="P120" s="111" t="str">
        <f>IF(AA117="","",AA117)</f>
        <v/>
      </c>
      <c r="Q120" s="91" t="str">
        <f t="shared" si="134"/>
        <v/>
      </c>
      <c r="R120" s="112" t="str">
        <f>IF(Y117="","",Y117)</f>
        <v/>
      </c>
      <c r="S120" s="111" t="str">
        <f>IF(AA118="","",AA118)</f>
        <v/>
      </c>
      <c r="T120" s="91" t="str">
        <f>IF(AND(S120="",U120=""),"",":")</f>
        <v/>
      </c>
      <c r="U120" s="112" t="str">
        <f>IF(Y118="","",Y118)</f>
        <v/>
      </c>
      <c r="V120" s="111" t="str">
        <f>IF(AA119="","",AA119)</f>
        <v/>
      </c>
      <c r="W120" s="91" t="str">
        <f>IF(AND(V120="",X120=""),"",":")</f>
        <v/>
      </c>
      <c r="X120" s="112" t="str">
        <f>IF(Y119="","",Y119)</f>
        <v/>
      </c>
      <c r="Y120" s="87"/>
      <c r="Z120" s="88"/>
      <c r="AA120" s="89"/>
      <c r="AB120" s="90"/>
      <c r="AC120" s="91" t="str">
        <f t="shared" si="135"/>
        <v/>
      </c>
      <c r="AD120" s="92"/>
      <c r="AE120" s="353" t="s">
        <v>287</v>
      </c>
      <c r="AF120" s="354"/>
      <c r="AG120" s="355"/>
      <c r="AH120" s="93">
        <f>IF(AA115&gt;Y115,1)+IF(AA116&gt;Y116,1)+IF(AA117&gt;Y117,1)+IF(AA118&gt;Y118,1)+IF(AA119&gt;Y119,1)+IF(AB120&gt;AD120,1)</f>
        <v>0</v>
      </c>
      <c r="AI120" s="94" t="s">
        <v>197</v>
      </c>
      <c r="AJ120" s="95">
        <f>AA115+AA116+AA117+AA118+AA119+AB120</f>
        <v>0</v>
      </c>
      <c r="AK120" s="96" t="str">
        <f t="shared" si="153"/>
        <v>:</v>
      </c>
      <c r="AL120" s="97">
        <f>Y115+Y116+Y117+Y118+Y119+AD120</f>
        <v>0</v>
      </c>
      <c r="AM120" s="98" t="str">
        <f t="shared" si="136"/>
        <v>1.</v>
      </c>
      <c r="AN120" s="99" t="str">
        <f t="shared" si="137"/>
        <v>0 b</v>
      </c>
      <c r="AO120" s="100" t="str">
        <f t="shared" si="138"/>
        <v>(0:0)</v>
      </c>
      <c r="AP120" s="101" t="str">
        <f t="shared" si="139"/>
        <v/>
      </c>
      <c r="AQ120" s="102"/>
      <c r="AR120" s="103" t="str">
        <f t="shared" si="140"/>
        <v>1.</v>
      </c>
      <c r="AS120" s="102"/>
      <c r="AT120" s="104"/>
      <c r="AU120" s="104">
        <f t="shared" si="141"/>
        <v>0</v>
      </c>
      <c r="AV120" s="104">
        <f t="shared" si="142"/>
        <v>1</v>
      </c>
      <c r="AW120" s="106">
        <f>IF(AV115=AV120,AA115,"")</f>
        <v>0</v>
      </c>
      <c r="AX120" s="105">
        <f>IF(AV116=AV120,AA116,"")</f>
        <v>0</v>
      </c>
      <c r="AY120" s="105">
        <f>IF(AV117=AV120,AA117,"")</f>
        <v>0</v>
      </c>
      <c r="AZ120" s="105">
        <f>IF(AV118=AV120,AA118,"")</f>
        <v>0</v>
      </c>
      <c r="BA120" s="105">
        <f>IF(AV119=AV120,AA119,"")</f>
        <v>0</v>
      </c>
      <c r="BB120" s="105"/>
      <c r="BC120" s="105">
        <f>IF(AV120=AV121,AB120,"")</f>
        <v>0</v>
      </c>
      <c r="BD120" s="105">
        <f t="shared" si="143"/>
        <v>0</v>
      </c>
      <c r="BE120" s="105">
        <f t="shared" si="144"/>
        <v>0</v>
      </c>
      <c r="BF120" s="105"/>
      <c r="BG120" s="104">
        <f t="shared" si="145"/>
        <v>1</v>
      </c>
      <c r="BH120" s="105">
        <f>IF(AV115=AV120,Y115,"")</f>
        <v>0</v>
      </c>
      <c r="BI120" s="105">
        <f>IF(AV116=AV120,Y116,"")</f>
        <v>0</v>
      </c>
      <c r="BJ120" s="105">
        <f>IF(AV117=AV120,Y117,"")</f>
        <v>0</v>
      </c>
      <c r="BK120" s="105">
        <f>IF(AV118=AV120,Y118,"")</f>
        <v>0</v>
      </c>
      <c r="BL120" s="105">
        <f>IF(AV119=AV120,Y119,"")</f>
        <v>0</v>
      </c>
      <c r="BM120" s="105"/>
      <c r="BN120" s="105">
        <f>IF(AV120=AV121,AD120,"")</f>
        <v>0</v>
      </c>
      <c r="BO120" s="105">
        <f t="shared" si="146"/>
        <v>0</v>
      </c>
      <c r="BQ120" s="10" t="b">
        <f t="shared" si="147"/>
        <v>0</v>
      </c>
      <c r="BR120" s="10">
        <f t="shared" si="154"/>
        <v>0</v>
      </c>
      <c r="BS120" s="10" t="b">
        <f t="shared" si="148"/>
        <v>1</v>
      </c>
      <c r="BT120" s="10"/>
      <c r="BU120" s="10"/>
      <c r="BV120" s="10"/>
      <c r="BW120" s="10"/>
      <c r="BX120" s="10"/>
      <c r="BY120" s="10"/>
      <c r="BZ120" s="10" t="str">
        <f t="shared" si="149"/>
        <v/>
      </c>
      <c r="CA120" s="107"/>
      <c r="CB120" s="104">
        <f t="shared" si="150"/>
        <v>1</v>
      </c>
      <c r="CC120" s="106"/>
      <c r="CD120" s="105"/>
      <c r="CE120" s="105"/>
      <c r="CF120" s="105"/>
      <c r="CG120" s="105"/>
      <c r="CH120" s="105"/>
      <c r="CI120" s="106">
        <f>IF(CB120=CB121,1,"")</f>
        <v>1</v>
      </c>
      <c r="CJ120" s="105">
        <f t="shared" si="151"/>
        <v>1</v>
      </c>
      <c r="CK120" s="107"/>
      <c r="CY120" s="109" t="str">
        <f t="shared" si="155"/>
        <v>1.</v>
      </c>
      <c r="CZ120" s="110" t="str">
        <f t="shared" si="156"/>
        <v/>
      </c>
      <c r="DA120" s="110"/>
      <c r="DB120" s="44" t="str">
        <f t="shared" si="157"/>
        <v/>
      </c>
      <c r="DC120" s="27" t="s">
        <v>206</v>
      </c>
      <c r="DE120" s="44">
        <f t="shared" si="158"/>
        <v>0</v>
      </c>
      <c r="DF120" s="44">
        <f>IF($CZ$120="",0,6)</f>
        <v>0</v>
      </c>
      <c r="DG120" s="44">
        <f>IF($CZ$120="",0,6)</f>
        <v>0</v>
      </c>
      <c r="DH120" s="44">
        <f>IF($CZ$120="",0,6)</f>
        <v>0</v>
      </c>
      <c r="DI120" s="44">
        <f>IF($CZ$120="",0,6)</f>
        <v>0</v>
      </c>
    </row>
    <row r="121" spans="2:113" ht="30" customHeight="1" x14ac:dyDescent="0.55000000000000004">
      <c r="D121" s="85" t="str">
        <f>IF(B115=7,$DE$22,"")</f>
        <v/>
      </c>
      <c r="E121" s="85" t="str">
        <f>IF(B115=7,$DE$23,"")</f>
        <v/>
      </c>
      <c r="F121" s="85" t="str">
        <f>IF(B115=7,$DE$24,"")</f>
        <v/>
      </c>
      <c r="G121" s="86" t="s">
        <v>7</v>
      </c>
      <c r="H121" s="358" t="str">
        <f>IF(AND(I38=6,I48="ANO",(CV40+CV42+CV44+CV46+CX40)&gt;34,CX42&gt;6),CS46,IF(AND(I38=6,I48="ANO",(CV40+CV42+CV44+CV46+CX40)&gt;33,CX42&gt;6),CS45,IF(AND(I38=6,I48="ANO",(CV40+CV42+CV44+CV46+CX40)&gt;32,CX42&gt;6),CS44,IF(AND(I38=6,I48="ANO",(CV40+CV42+CV44+CV46+CX40)&gt;31,CX42&gt;6),CS43,IF(AND(I38=6,I48="ANO",(CV40+CV42+CV44+CV46+CX40)&gt;30,CX42&gt;6),CS42,IF(AND(I38=6,I48="ANO",(CV40+CV42+CV44+CV46+CX40)&gt;29,CX42&gt;6),CS41,IF(AND(I38=8,I48="ANO",(CV40+CV42+CV44+CV46+CX40)&gt;34,CX42&gt;6),CS58,IF(AND(I38=8,I48="ANO",(CV40+CV42+CV44+CV46+CX40)&gt;33,CX42&gt;6),CS57,IF(AND(I38=8,I48="ANO",(CV40+CV42+CV44+CV46+CX40)&gt;32,CX42&gt;6),CS56,IF(AND(I38=8,I48="ANO",(CV40+CV42+CV44+CV46+CX40)&gt;31,CX42&gt;6),CS55,IF(AND(I38=8,I48="ANO",(CV40+CV42+CV44+CV46+CX40)&gt;30,CX42&gt;6),CS54,IF(AND(I38=8,I48="ANO",(CV40+CV42+CV44+CV46+CX40)&gt;29,CX42&gt;6),CS53,""))))))))))))</f>
        <v/>
      </c>
      <c r="I121" s="358"/>
      <c r="J121" s="111" t="str">
        <f>IF(AD115="","",AD115)</f>
        <v/>
      </c>
      <c r="K121" s="91" t="str">
        <f t="shared" si="152"/>
        <v/>
      </c>
      <c r="L121" s="112" t="str">
        <f>IF(AB115="","",AB115)</f>
        <v/>
      </c>
      <c r="M121" s="111" t="str">
        <f>IF(AD116="","",AD116)</f>
        <v/>
      </c>
      <c r="N121" s="91" t="str">
        <f>IF(AND(M121="",O121=""),"",":")</f>
        <v/>
      </c>
      <c r="O121" s="112" t="str">
        <f>IF(AB116="","",AB116)</f>
        <v/>
      </c>
      <c r="P121" s="111" t="str">
        <f>IF(AD117="","",AD117)</f>
        <v/>
      </c>
      <c r="Q121" s="91" t="str">
        <f t="shared" si="134"/>
        <v/>
      </c>
      <c r="R121" s="112" t="str">
        <f>IF(AB117="","",AB117)</f>
        <v/>
      </c>
      <c r="S121" s="111" t="str">
        <f>IF(AD118="","",AD118)</f>
        <v/>
      </c>
      <c r="T121" s="91" t="str">
        <f>IF(AND(S121="",U121=""),"",":")</f>
        <v/>
      </c>
      <c r="U121" s="112" t="str">
        <f>IF(AB118="","",AB118)</f>
        <v/>
      </c>
      <c r="V121" s="111" t="str">
        <f>IF(AD119="","",AD119)</f>
        <v/>
      </c>
      <c r="W121" s="91" t="str">
        <f>IF(AND(V121="",X121=""),"",":")</f>
        <v/>
      </c>
      <c r="X121" s="112" t="str">
        <f>IF(AB119="","",AB119)</f>
        <v/>
      </c>
      <c r="Y121" s="111" t="str">
        <f>IF(AD120="","",AD120)</f>
        <v/>
      </c>
      <c r="Z121" s="91" t="str">
        <f>IF(AND(Y121="",AA121=""),"",":")</f>
        <v/>
      </c>
      <c r="AA121" s="112" t="str">
        <f>IF(AB120="","",AB120)</f>
        <v/>
      </c>
      <c r="AB121" s="87"/>
      <c r="AC121" s="88"/>
      <c r="AD121" s="89"/>
      <c r="AE121" s="359" t="s">
        <v>288</v>
      </c>
      <c r="AF121" s="354"/>
      <c r="AG121" s="355"/>
      <c r="AH121" s="93">
        <f>IF(AD115&gt;AB115,1)+IF(AD116&gt;AB116,1)+IF(AD117&gt;AB117,1)+IF(AD118&gt;AB118,1)+IF(AD119&gt;AB119,1)+IF(AD120&gt;AB120,1)</f>
        <v>0</v>
      </c>
      <c r="AI121" s="94" t="s">
        <v>197</v>
      </c>
      <c r="AJ121" s="95">
        <f>AD115+AD116+AD117+AD118+AD119+AD120</f>
        <v>0</v>
      </c>
      <c r="AK121" s="96" t="str">
        <f t="shared" si="153"/>
        <v>:</v>
      </c>
      <c r="AL121" s="97">
        <f>AB115+AB116+AB117+AB118+AB119+AB120</f>
        <v>0</v>
      </c>
      <c r="AM121" s="98" t="str">
        <f t="shared" si="136"/>
        <v>1.</v>
      </c>
      <c r="AN121" s="99" t="str">
        <f t="shared" si="137"/>
        <v>0 b</v>
      </c>
      <c r="AO121" s="100" t="str">
        <f t="shared" si="138"/>
        <v>(0:0)</v>
      </c>
      <c r="AP121" s="101" t="str">
        <f t="shared" si="139"/>
        <v/>
      </c>
      <c r="AQ121" s="102"/>
      <c r="AR121" s="103" t="str">
        <f t="shared" si="140"/>
        <v>1.</v>
      </c>
      <c r="AS121" s="102"/>
      <c r="AT121" s="104"/>
      <c r="AU121" s="104">
        <f t="shared" si="141"/>
        <v>0</v>
      </c>
      <c r="AV121" s="104">
        <f t="shared" si="142"/>
        <v>1</v>
      </c>
      <c r="AW121" s="106">
        <f>IF(AV115=AV121,AD115,"")</f>
        <v>0</v>
      </c>
      <c r="AX121" s="105">
        <f>IF(AV116=AV121,AD116,"")</f>
        <v>0</v>
      </c>
      <c r="AY121" s="105">
        <f>IF(AV117=AV121,AD117,"")</f>
        <v>0</v>
      </c>
      <c r="AZ121" s="105">
        <f>IF(AV118=AV121,AD118,"")</f>
        <v>0</v>
      </c>
      <c r="BA121" s="105">
        <f>IF(AV119=AV121,AD119,"")</f>
        <v>0</v>
      </c>
      <c r="BB121" s="105">
        <f>IF(AV120=AV121,AD120,"")</f>
        <v>0</v>
      </c>
      <c r="BC121" s="105"/>
      <c r="BD121" s="105">
        <f t="shared" si="143"/>
        <v>0</v>
      </c>
      <c r="BE121" s="105">
        <f t="shared" si="144"/>
        <v>0</v>
      </c>
      <c r="BF121" s="105"/>
      <c r="BG121" s="104">
        <f t="shared" si="145"/>
        <v>1</v>
      </c>
      <c r="BH121" s="105">
        <f>IF(AV115=AV121,AB115,"")</f>
        <v>0</v>
      </c>
      <c r="BI121" s="105">
        <f>IF(AV116=AV121,AB116,"")</f>
        <v>0</v>
      </c>
      <c r="BJ121" s="105">
        <f>IF(AV117=AV121,AB117,"")</f>
        <v>0</v>
      </c>
      <c r="BK121" s="105">
        <f>IF(AV118=AV121,AB118,"")</f>
        <v>0</v>
      </c>
      <c r="BL121" s="105">
        <f>IF(AV119=AV121,AB119,"")</f>
        <v>0</v>
      </c>
      <c r="BM121" s="105">
        <f>IF(AV120=AV121,AB120,"")</f>
        <v>0</v>
      </c>
      <c r="BN121" s="105"/>
      <c r="BO121" s="105">
        <f t="shared" si="146"/>
        <v>0</v>
      </c>
      <c r="BQ121" s="10" t="b">
        <f t="shared" si="147"/>
        <v>0</v>
      </c>
      <c r="BR121" s="10">
        <f t="shared" si="154"/>
        <v>0</v>
      </c>
      <c r="BS121" s="10" t="b">
        <f t="shared" si="148"/>
        <v>1</v>
      </c>
      <c r="BT121" s="10"/>
      <c r="BU121" s="10"/>
      <c r="BV121" s="10"/>
      <c r="BW121" s="10"/>
      <c r="BX121" s="10"/>
      <c r="BY121" s="10"/>
      <c r="BZ121" s="10" t="str">
        <f t="shared" si="149"/>
        <v/>
      </c>
      <c r="CA121" s="107"/>
      <c r="CB121" s="104">
        <f t="shared" si="150"/>
        <v>1</v>
      </c>
      <c r="CC121" s="106"/>
      <c r="CD121" s="105"/>
      <c r="CE121" s="105"/>
      <c r="CF121" s="105"/>
      <c r="CG121" s="105"/>
      <c r="CH121" s="105"/>
      <c r="CI121" s="105"/>
      <c r="CJ121" s="105">
        <f t="shared" si="151"/>
        <v>0</v>
      </c>
      <c r="CK121" s="107"/>
      <c r="CY121" s="109" t="str">
        <f t="shared" si="155"/>
        <v>1.</v>
      </c>
      <c r="CZ121" s="110" t="str">
        <f t="shared" si="156"/>
        <v/>
      </c>
      <c r="DA121" s="110"/>
      <c r="DB121" s="44" t="str">
        <f t="shared" si="157"/>
        <v/>
      </c>
      <c r="DC121" s="27" t="s">
        <v>207</v>
      </c>
      <c r="DE121" s="44">
        <f t="shared" si="158"/>
        <v>0</v>
      </c>
      <c r="DF121" s="44">
        <f>IF($CZ$121="",0,6)</f>
        <v>0</v>
      </c>
      <c r="DG121" s="44">
        <f>IF($CZ$121="",0,6)</f>
        <v>0</v>
      </c>
      <c r="DH121" s="44">
        <f>IF($CZ$121="",0,6)</f>
        <v>0</v>
      </c>
      <c r="DI121" s="44">
        <f>IF($CZ$121="",0,6)</f>
        <v>0</v>
      </c>
    </row>
    <row r="122" spans="2:113" ht="11.25" customHeight="1" x14ac:dyDescent="0.5">
      <c r="AK122" s="118"/>
      <c r="AN122" s="119"/>
      <c r="AP122" s="119">
        <f>COUNTIF(AP115:AP121,"&gt;0")</f>
        <v>0</v>
      </c>
      <c r="AU122" s="10">
        <f>COUNTIF(AU115:AU121,"&gt;0")</f>
        <v>0</v>
      </c>
      <c r="AY122" s="10"/>
      <c r="BR122" s="9">
        <f>SUM(BR115:BR121)</f>
        <v>0</v>
      </c>
      <c r="BS122" s="10">
        <f>COUNTIF(BS115:BS121,TRUE)</f>
        <v>7</v>
      </c>
      <c r="BT122" s="9">
        <f>BR122*BS122</f>
        <v>0</v>
      </c>
      <c r="BZ122" s="10">
        <f>COUNTIF(BZ115:BZ121,1)</f>
        <v>0</v>
      </c>
      <c r="CE122" s="10"/>
      <c r="CK122" s="120">
        <f>SUM(AH115:AH121)</f>
        <v>0</v>
      </c>
    </row>
    <row r="123" spans="2:113" x14ac:dyDescent="0.5">
      <c r="DE123"/>
    </row>
    <row r="124" spans="2:113" ht="15" customHeight="1" x14ac:dyDescent="0.5"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74"/>
    </row>
    <row r="125" spans="2:113" ht="165" customHeight="1" x14ac:dyDescent="0.9">
      <c r="H125" s="356" t="s">
        <v>218</v>
      </c>
      <c r="I125" s="357"/>
      <c r="J125" s="360" t="str">
        <f>H126</f>
        <v/>
      </c>
      <c r="K125" s="345"/>
      <c r="L125" s="346"/>
      <c r="M125" s="360" t="str">
        <f>H127</f>
        <v/>
      </c>
      <c r="N125" s="345"/>
      <c r="O125" s="346"/>
      <c r="P125" s="360" t="str">
        <f>H128</f>
        <v/>
      </c>
      <c r="Q125" s="345"/>
      <c r="R125" s="346"/>
      <c r="S125" s="360" t="str">
        <f>H129</f>
        <v/>
      </c>
      <c r="T125" s="345"/>
      <c r="U125" s="346"/>
      <c r="V125" s="360" t="str">
        <f>H130</f>
        <v/>
      </c>
      <c r="W125" s="345"/>
      <c r="X125" s="346"/>
      <c r="Y125" s="360" t="str">
        <f>H131</f>
        <v/>
      </c>
      <c r="Z125" s="345"/>
      <c r="AA125" s="346"/>
      <c r="AB125" s="360" t="str">
        <f>H132</f>
        <v/>
      </c>
      <c r="AC125" s="345"/>
      <c r="AD125" s="346"/>
      <c r="AE125" s="347" t="s">
        <v>175</v>
      </c>
      <c r="AF125" s="348"/>
      <c r="AG125" s="349"/>
      <c r="AH125" s="347" t="s">
        <v>176</v>
      </c>
      <c r="AI125" s="349"/>
      <c r="AJ125" s="350" t="s">
        <v>177</v>
      </c>
      <c r="AK125" s="350"/>
      <c r="AL125" s="350"/>
      <c r="AM125" s="75" t="s">
        <v>178</v>
      </c>
      <c r="AN125" s="76" t="s">
        <v>179</v>
      </c>
      <c r="AO125" s="76" t="s">
        <v>180</v>
      </c>
      <c r="AP125" s="77" t="s">
        <v>181</v>
      </c>
      <c r="AQ125" s="78"/>
      <c r="AR125" s="78" t="s">
        <v>182</v>
      </c>
      <c r="AS125" s="79"/>
      <c r="AT125" s="80"/>
      <c r="AU125" s="80"/>
      <c r="AV125" s="81" t="s">
        <v>183</v>
      </c>
      <c r="AW125" s="82">
        <v>1</v>
      </c>
      <c r="AX125" s="82">
        <v>2</v>
      </c>
      <c r="AY125" s="82">
        <v>3</v>
      </c>
      <c r="AZ125" s="81" t="s">
        <v>4</v>
      </c>
      <c r="BA125" s="81" t="s">
        <v>5</v>
      </c>
      <c r="BB125" s="81" t="s">
        <v>6</v>
      </c>
      <c r="BC125" s="81" t="s">
        <v>7</v>
      </c>
      <c r="BD125" s="81" t="s">
        <v>184</v>
      </c>
      <c r="BG125" s="81" t="s">
        <v>178</v>
      </c>
      <c r="BH125" s="82">
        <v>1</v>
      </c>
      <c r="BI125" s="82">
        <v>2</v>
      </c>
      <c r="BJ125" s="82">
        <v>3</v>
      </c>
      <c r="BK125" s="81" t="s">
        <v>4</v>
      </c>
      <c r="BL125" s="81" t="s">
        <v>5</v>
      </c>
      <c r="BM125" s="81" t="s">
        <v>6</v>
      </c>
      <c r="BN125" s="81" t="s">
        <v>7</v>
      </c>
      <c r="BO125" s="81" t="s">
        <v>185</v>
      </c>
      <c r="BQ125" s="81" t="s">
        <v>186</v>
      </c>
      <c r="BR125" s="81" t="s">
        <v>187</v>
      </c>
      <c r="BS125" s="81" t="s">
        <v>188</v>
      </c>
      <c r="BT125" s="81" t="s">
        <v>189</v>
      </c>
      <c r="BU125" s="81" t="s">
        <v>190</v>
      </c>
      <c r="BV125" s="81" t="s">
        <v>191</v>
      </c>
      <c r="BW125" s="81" t="s">
        <v>192</v>
      </c>
      <c r="BX125" s="81" t="s">
        <v>193</v>
      </c>
      <c r="BY125" s="81"/>
      <c r="BZ125" s="81" t="s">
        <v>194</v>
      </c>
      <c r="CA125" s="83"/>
      <c r="CB125" s="81" t="s">
        <v>195</v>
      </c>
      <c r="CC125" s="82">
        <v>1</v>
      </c>
      <c r="CD125" s="82">
        <v>2</v>
      </c>
      <c r="CE125" s="82">
        <v>3</v>
      </c>
      <c r="CF125" s="81" t="s">
        <v>4</v>
      </c>
      <c r="CG125" s="81" t="s">
        <v>5</v>
      </c>
      <c r="CH125" s="81" t="s">
        <v>6</v>
      </c>
      <c r="CI125" s="81" t="s">
        <v>7</v>
      </c>
      <c r="CJ125" s="81" t="s">
        <v>184</v>
      </c>
      <c r="CK125" s="83" t="s">
        <v>196</v>
      </c>
      <c r="CY125" s="11" t="s">
        <v>178</v>
      </c>
      <c r="CZ125" s="11" t="s">
        <v>14</v>
      </c>
      <c r="DB125" s="1" t="s">
        <v>14</v>
      </c>
      <c r="DC125" s="1" t="s">
        <v>178</v>
      </c>
    </row>
    <row r="126" spans="2:113" ht="30" customHeight="1" x14ac:dyDescent="0.55000000000000004">
      <c r="B126" s="84">
        <f>CX44</f>
        <v>0</v>
      </c>
      <c r="D126" s="85" t="str">
        <f>IF(B126=3,$DA$4,IF(B126=4,$DB$4,IF(B126=5,$DC$4,IF(B126=6,$DD$4,IF(B126=7,$DE$4,"")))))</f>
        <v/>
      </c>
      <c r="E126" s="85" t="str">
        <f>IF(B126=3,$DA$5,IF(B126=4,$DB$5,IF(B126=5,$DC$5,IF(B126=6,$DD$5,IF(B126=7,$DE$5,"")))))</f>
        <v/>
      </c>
      <c r="F126" s="85" t="str">
        <f>IF(B126=3,$DA$6,IF(B126=4,$DB$6,IF(B126=5,$DC$6,IF(B126=6,$DD$6,IF(B126=7,$DE$6,"")))))</f>
        <v/>
      </c>
      <c r="G126" s="86" t="s">
        <v>21</v>
      </c>
      <c r="H126" s="358" t="str">
        <f>IF(AND(I38=8,CX44&gt;0,I48="ANO"),CS11,"")</f>
        <v/>
      </c>
      <c r="I126" s="358"/>
      <c r="J126" s="87"/>
      <c r="K126" s="88"/>
      <c r="L126" s="89"/>
      <c r="M126" s="90"/>
      <c r="N126" s="91" t="str">
        <f>IF(AND(M126="",O126=""),"",":")</f>
        <v/>
      </c>
      <c r="O126" s="92"/>
      <c r="P126" s="90"/>
      <c r="Q126" s="91" t="str">
        <f t="shared" ref="Q126:Q132" si="159">IF(AND(P126="",R126=""),"",":")</f>
        <v/>
      </c>
      <c r="R126" s="92"/>
      <c r="S126" s="90"/>
      <c r="T126" s="91" t="str">
        <f>IF(AND(S126="",U126=""),"",":")</f>
        <v/>
      </c>
      <c r="U126" s="92"/>
      <c r="V126" s="90"/>
      <c r="W126" s="91" t="str">
        <f>IF(AND(V126="",X126=""),"",":")</f>
        <v/>
      </c>
      <c r="X126" s="92"/>
      <c r="Y126" s="90"/>
      <c r="Z126" s="91" t="str">
        <f>IF(AND(Y126="",AA126=""),"",":")</f>
        <v/>
      </c>
      <c r="AA126" s="92"/>
      <c r="AB126" s="90"/>
      <c r="AC126" s="91" t="str">
        <f t="shared" ref="AC126:AC131" si="160">IF(AND(AB126="",AD126=""),"",":")</f>
        <v/>
      </c>
      <c r="AD126" s="92"/>
      <c r="AE126" s="353">
        <v>180</v>
      </c>
      <c r="AF126" s="354"/>
      <c r="AG126" s="355"/>
      <c r="AH126" s="93">
        <f>IF(M126&gt;O126,1)+IF(P126&gt;R126,1)+IF(S126&gt;U126,1)+IF(V126&gt;X126,1)+IF(Y126&gt;AA126,1)+IF(AB126&gt;AD126,1)</f>
        <v>0</v>
      </c>
      <c r="AI126" s="94" t="s">
        <v>197</v>
      </c>
      <c r="AJ126" s="95">
        <f>M126+P126+S126+V126+Y126+AB126</f>
        <v>0</v>
      </c>
      <c r="AK126" s="96" t="str">
        <f>IF(AND(AJ126="",AL126=""),"",":")</f>
        <v>:</v>
      </c>
      <c r="AL126" s="97">
        <f>O126+R126+U126+X126+AA126+AD126</f>
        <v>0</v>
      </c>
      <c r="AM126" s="98" t="str">
        <f t="shared" ref="AM126:AM132" si="161">COUNTIF($AH$126:$AH$132,"&gt;"&amp;AH126)+COUNTIFS($AH$126:$AH$132,AH126,$AN$126:$AN$132,"&gt;"&amp;AN126)+COUNTIFS($AH$126:$AH$132,AH126,$AN$126:$AN$132,AN126,$BD$126:$BD$132,"&gt;"&amp;BD126)+COUNTIFS($AH$126:$AH$132,AH126,$AN$126:$AN$132,AN126,$BD$126:$BD$132,BD126,$BO$126:$BO$132,"&lt;"&amp;BO126)+COUNTIFS($AH$126:$AH$132,AH126,$AN$126:$AN$132,AN126,$BD$126:$BD$132,BD126,$BO$126:$BO$132,BO126,$AP$126:$AP$132,"&lt;"&amp;AP126)+1 &amp;"."</f>
        <v>1.</v>
      </c>
      <c r="AN126" s="99" t="str">
        <f t="shared" ref="AN126:AN132" si="162">IF(AW126&gt;BH126,1,)+IF(AX126&gt;BI126,1)+IF(AY126&gt;BJ126,1)+IF(AZ126&gt;BK126,1)+IF(BA126&gt;BL126,1)+IF(BB126&gt;BM126,1)+IF(BC126&gt;BN126,1,)&amp;" b"</f>
        <v>0 b</v>
      </c>
      <c r="AO126" s="100" t="str">
        <f t="shared" ref="AO126:AO132" si="163">CONCATENATE("("&amp;(BD126),":",(BO126)&amp;")")</f>
        <v>(0:0)</v>
      </c>
      <c r="AP126" s="101" t="str">
        <f t="shared" ref="AP126:AP132" si="164">IF(AND(BS126=TRUE,BR126&lt;&gt;0),"?","")</f>
        <v/>
      </c>
      <c r="AQ126" s="102"/>
      <c r="AR126" s="103" t="str">
        <f t="shared" ref="AR126:AR132" si="165">RANK(AH126,$AH$126:$AH$132,0)&amp;"."</f>
        <v>1.</v>
      </c>
      <c r="AS126" s="102"/>
      <c r="AT126" s="104"/>
      <c r="AU126" s="104">
        <f t="shared" ref="AU126:AU132" si="166">IF(AW126&gt;BH126,1,)+IF(AX126&gt;BI126,1)+IF(AY126&gt;BJ126,1)+IF(AZ126&gt;BK126,1)+IF(BA126&gt;BL126,1)+IF(BB126&gt;BM126,1)+IF(BC126&gt;BN126,1,)</f>
        <v>0</v>
      </c>
      <c r="AV126" s="104">
        <f t="shared" ref="AV126:AV132" si="167">RANK(AH126,$AH$126:$AH$132,0)</f>
        <v>1</v>
      </c>
      <c r="AW126" s="105"/>
      <c r="AX126" s="106">
        <f>IF(AV126=AV127,M126,"")</f>
        <v>0</v>
      </c>
      <c r="AY126" s="105">
        <f>IF(AV126=AV128,P126,"")</f>
        <v>0</v>
      </c>
      <c r="AZ126" s="105">
        <f>IF(AV126=AV129,S126,"")</f>
        <v>0</v>
      </c>
      <c r="BA126" s="105">
        <f>IF(AV126=AV130,V126,"")</f>
        <v>0</v>
      </c>
      <c r="BB126" s="105">
        <f>IF(AV126=AV131,Y126,"")</f>
        <v>0</v>
      </c>
      <c r="BC126" s="105">
        <f>IF(AV126=AV132,AB126,"")</f>
        <v>0</v>
      </c>
      <c r="BD126" s="105">
        <f t="shared" ref="BD126:BD132" si="168">SUM(AW126:BC126)</f>
        <v>0</v>
      </c>
      <c r="BE126" s="105">
        <f t="shared" ref="BE126:BE132" si="169">IF(BD126=0,0,"1")</f>
        <v>0</v>
      </c>
      <c r="BF126" s="105"/>
      <c r="BG126" s="104">
        <f t="shared" ref="BG126:BG132" si="170">RANK(AH126,$AH$126:$AH$132,0)</f>
        <v>1</v>
      </c>
      <c r="BH126" s="105"/>
      <c r="BI126" s="105">
        <f>IF(AV126=AV127,O126,"")</f>
        <v>0</v>
      </c>
      <c r="BJ126" s="105">
        <f>IF(AV126=AV128,R126,"")</f>
        <v>0</v>
      </c>
      <c r="BK126" s="105">
        <f>IF(AV126=AV129,U126,"")</f>
        <v>0</v>
      </c>
      <c r="BL126" s="105">
        <f>IF(AV126=AV130,X126,"")</f>
        <v>0</v>
      </c>
      <c r="BM126" s="105">
        <f>IF(AV126=AV131,AA126,"")</f>
        <v>0</v>
      </c>
      <c r="BN126" s="105">
        <f>IF(AV126=AV132,AD126,"")</f>
        <v>0</v>
      </c>
      <c r="BO126" s="105">
        <f t="shared" ref="BO126:BO132" si="171">SUM(BH126:BN126)</f>
        <v>0</v>
      </c>
      <c r="BQ126" s="10" t="b">
        <f t="shared" ref="BQ126:BQ132" si="172">IF(COUNTIF($AH$126:$AH$132,1)=1,1,IF(COUNTIF($AH$126:$AH$132,2)=2,2,IF(COUNTIF($AH$126:$AH$132,3)=3,3,IF(COUNTIF($AH$126:$AH$132,4)=4,4,IF(COUNTIF($AH$126:$AH$132,5)=5,5)))))</f>
        <v>0</v>
      </c>
      <c r="BR126" s="10">
        <f>AH126*(BD126*100+AH126+BO126*3.14+AU126*22)*10</f>
        <v>0</v>
      </c>
      <c r="BS126" s="10" t="b">
        <f t="shared" ref="BS126:BS132" si="173">COUNTIF($BR$126:$BR$132,BR126)&gt;1</f>
        <v>1</v>
      </c>
      <c r="BT126" s="10">
        <f>COUNTIF($AH$126:$AH$133,1)</f>
        <v>0</v>
      </c>
      <c r="BU126" s="10">
        <f>COUNTIF($AH$126:$AH$133,2)</f>
        <v>0</v>
      </c>
      <c r="BV126" s="10">
        <f>COUNTIF($AH$126:$AH$133,3)</f>
        <v>0</v>
      </c>
      <c r="BW126" s="10">
        <f>COUNTIF($AH$126:$AH$133,4)</f>
        <v>0</v>
      </c>
      <c r="BX126" s="10">
        <f>COUNTIF($AH$126:$AH$133,5)</f>
        <v>0</v>
      </c>
      <c r="BY126" s="10"/>
      <c r="BZ126" s="10" t="str">
        <f t="shared" ref="BZ126:BZ132" si="174">IF(AND(BS126=TRUE,BR126&lt;&gt;0),"1","")</f>
        <v/>
      </c>
      <c r="CA126" s="107"/>
      <c r="CB126" s="104">
        <f t="shared" ref="CB126:CB132" si="175">RANK(AH126,$AH$126:$AH$132,0)</f>
        <v>1</v>
      </c>
      <c r="CC126" s="105"/>
      <c r="CD126" s="106">
        <f>IF(CB126=CB127,1,"")</f>
        <v>1</v>
      </c>
      <c r="CE126" s="106">
        <f>IF(CB126=CB128,1,"")</f>
        <v>1</v>
      </c>
      <c r="CF126" s="106">
        <f>IF(CB126=CB129,1,"")</f>
        <v>1</v>
      </c>
      <c r="CG126" s="106">
        <f>IF(CB126=CB130,1,"")</f>
        <v>1</v>
      </c>
      <c r="CH126" s="106">
        <f>IF(CB126=CB131,1,"")</f>
        <v>1</v>
      </c>
      <c r="CI126" s="106">
        <f>IF(CB126=CB132,1,"")</f>
        <v>1</v>
      </c>
      <c r="CJ126" s="105">
        <f t="shared" ref="CJ126:CJ132" si="176">SUM(CC126:CI126)</f>
        <v>6</v>
      </c>
      <c r="CK126" s="107"/>
      <c r="CX126" s="11" t="s">
        <v>219</v>
      </c>
      <c r="CY126" s="109" t="str">
        <f>AM126</f>
        <v>1.</v>
      </c>
      <c r="CZ126" s="110" t="str">
        <f>H126</f>
        <v/>
      </c>
      <c r="DA126" s="110"/>
      <c r="DB126" s="44" t="str">
        <f>IF(DE126&gt;0,VLOOKUP(DC126,$CY$126:$CZ$132,2,0),"")</f>
        <v/>
      </c>
      <c r="DC126" s="27" t="s">
        <v>199</v>
      </c>
      <c r="DE126" s="44">
        <f>IF(CZ126="",0,7)</f>
        <v>0</v>
      </c>
    </row>
    <row r="127" spans="2:113" ht="30" customHeight="1" x14ac:dyDescent="0.55000000000000004">
      <c r="D127" s="85" t="str">
        <f>IF(B126=4,$DB$7,IF(B126=5,$DC$7,IF(B126=6,$DD$7,IF(B126=7,$DE$7,""))))</f>
        <v/>
      </c>
      <c r="E127" s="85" t="str">
        <f>IF(B126=4,$DB$8,IF(B126=5,$DC$8,IF(B126=6,$DD$8,IF(B126=7,$DE$8,""))))</f>
        <v/>
      </c>
      <c r="F127" s="85" t="str">
        <f>IF(B126=4,$DB$9,IF(B126=5,$DC$9,IF(B126=6,$DD$9,IF(B126=7,$DE$9,""))))</f>
        <v/>
      </c>
      <c r="G127" s="86" t="s">
        <v>29</v>
      </c>
      <c r="H127" s="358" t="str">
        <f>IF(AND(I36&lt;&gt;16,I38=8,CX44&gt;0,I48="ANO"),CS19,IF(AND(I36=16,I38=8,CX44&gt;0,I48="ANO"),CS14,""))</f>
        <v/>
      </c>
      <c r="I127" s="358"/>
      <c r="J127" s="111" t="str">
        <f>IF(O126="","",O126)</f>
        <v/>
      </c>
      <c r="K127" s="91" t="str">
        <f t="shared" ref="K127:K132" si="177">IF(AND(J127="",L127=""),"",":")</f>
        <v/>
      </c>
      <c r="L127" s="112" t="str">
        <f>IF(M126="","",M126)</f>
        <v/>
      </c>
      <c r="M127" s="87"/>
      <c r="N127" s="88"/>
      <c r="O127" s="89"/>
      <c r="P127" s="90"/>
      <c r="Q127" s="91" t="str">
        <f t="shared" si="159"/>
        <v/>
      </c>
      <c r="R127" s="92"/>
      <c r="S127" s="90"/>
      <c r="T127" s="91" t="str">
        <f>IF(AND(S127="",U127=""),"",":")</f>
        <v/>
      </c>
      <c r="U127" s="92"/>
      <c r="V127" s="90"/>
      <c r="W127" s="91" t="str">
        <f>IF(AND(V127="",X127=""),"",":")</f>
        <v/>
      </c>
      <c r="X127" s="92"/>
      <c r="Y127" s="90"/>
      <c r="Z127" s="91" t="str">
        <f>IF(AND(Y127="",AA127=""),"",":")</f>
        <v/>
      </c>
      <c r="AA127" s="92"/>
      <c r="AB127" s="90"/>
      <c r="AC127" s="91" t="str">
        <f t="shared" si="160"/>
        <v/>
      </c>
      <c r="AD127" s="92"/>
      <c r="AE127" s="359" t="s">
        <v>284</v>
      </c>
      <c r="AF127" s="354"/>
      <c r="AG127" s="355"/>
      <c r="AH127" s="93">
        <f>IF(M126&lt;O126,1)+IF(P127&gt;R127,1)+IF(S127&gt;U127,1)+IF(V127&gt;X127,1)+IF(Y127&gt;AA127,1)+IF(AB127&gt;AD127,1)</f>
        <v>0</v>
      </c>
      <c r="AI127" s="94" t="s">
        <v>197</v>
      </c>
      <c r="AJ127" s="95">
        <f>O126+P127+S127+V127+Y127+AB127</f>
        <v>0</v>
      </c>
      <c r="AK127" s="96" t="str">
        <f t="shared" ref="AK127:AK132" si="178">IF(AND(AJ127="",AL127=""),"",":")</f>
        <v>:</v>
      </c>
      <c r="AL127" s="97">
        <f>M126+R127+U127+X127+AA127+AD127</f>
        <v>0</v>
      </c>
      <c r="AM127" s="98" t="str">
        <f t="shared" si="161"/>
        <v>1.</v>
      </c>
      <c r="AN127" s="99" t="str">
        <f t="shared" si="162"/>
        <v>0 b</v>
      </c>
      <c r="AO127" s="100" t="str">
        <f t="shared" si="163"/>
        <v>(0:0)</v>
      </c>
      <c r="AP127" s="101" t="str">
        <f t="shared" si="164"/>
        <v/>
      </c>
      <c r="AQ127" s="102"/>
      <c r="AR127" s="103" t="str">
        <f t="shared" si="165"/>
        <v>1.</v>
      </c>
      <c r="AS127" s="102"/>
      <c r="AT127" s="104"/>
      <c r="AU127" s="104">
        <f t="shared" si="166"/>
        <v>0</v>
      </c>
      <c r="AV127" s="104">
        <f t="shared" si="167"/>
        <v>1</v>
      </c>
      <c r="AW127" s="106">
        <f>IF(AV126=AV127,O126,"")</f>
        <v>0</v>
      </c>
      <c r="AX127" s="105"/>
      <c r="AY127" s="105">
        <f>IF(AV127=AV128,P127,"")</f>
        <v>0</v>
      </c>
      <c r="AZ127" s="105">
        <f>IF(AV127=AV129,S127,"")</f>
        <v>0</v>
      </c>
      <c r="BA127" s="105">
        <f>IF(AV127=AV130,V127,"")</f>
        <v>0</v>
      </c>
      <c r="BB127" s="105">
        <f>IF(AV127=AV131,Y127,"")</f>
        <v>0</v>
      </c>
      <c r="BC127" s="105">
        <f>IF(AV127=AV132,AB127,"")</f>
        <v>0</v>
      </c>
      <c r="BD127" s="105">
        <f t="shared" si="168"/>
        <v>0</v>
      </c>
      <c r="BE127" s="105">
        <f t="shared" si="169"/>
        <v>0</v>
      </c>
      <c r="BF127" s="105"/>
      <c r="BG127" s="104">
        <f t="shared" si="170"/>
        <v>1</v>
      </c>
      <c r="BH127" s="105">
        <f>IF(AV126=AV127,M126,"")</f>
        <v>0</v>
      </c>
      <c r="BI127" s="105"/>
      <c r="BJ127" s="105">
        <f>IF(AV127=AV128,R127,"")</f>
        <v>0</v>
      </c>
      <c r="BK127" s="105">
        <f>IF(AV127=AV129,U127,"")</f>
        <v>0</v>
      </c>
      <c r="BL127" s="105">
        <f>IF(AV127=AV130,X127,"")</f>
        <v>0</v>
      </c>
      <c r="BM127" s="105">
        <f>IF(AV127=AV131,AA127,"")</f>
        <v>0</v>
      </c>
      <c r="BN127" s="105">
        <f>IF(AV127=AV132,AD127,"")</f>
        <v>0</v>
      </c>
      <c r="BO127" s="105">
        <f t="shared" si="171"/>
        <v>0</v>
      </c>
      <c r="BQ127" s="10" t="b">
        <f t="shared" si="172"/>
        <v>0</v>
      </c>
      <c r="BR127" s="10">
        <f t="shared" ref="BR127:BR132" si="179">AH127*(BD127*100+AH127+BO127*3.14+AU127*22)*10</f>
        <v>0</v>
      </c>
      <c r="BS127" s="10" t="b">
        <f t="shared" si="173"/>
        <v>1</v>
      </c>
      <c r="BT127" s="10">
        <f>IF(BT126&gt;=2,1,0)</f>
        <v>0</v>
      </c>
      <c r="BU127" s="10">
        <f>IF(BU126&gt;=2,1,0)</f>
        <v>0</v>
      </c>
      <c r="BV127" s="10">
        <f>IF(BV126&gt;=2,1,0)</f>
        <v>0</v>
      </c>
      <c r="BW127" s="10">
        <f>IF(BW126&gt;=2,1,0)</f>
        <v>0</v>
      </c>
      <c r="BX127" s="10">
        <f>IF(BX126&gt;=2,1,0)</f>
        <v>0</v>
      </c>
      <c r="BY127" s="10"/>
      <c r="BZ127" s="10" t="str">
        <f t="shared" si="174"/>
        <v/>
      </c>
      <c r="CA127" s="107"/>
      <c r="CB127" s="104">
        <f t="shared" si="175"/>
        <v>1</v>
      </c>
      <c r="CC127" s="106"/>
      <c r="CD127" s="105"/>
      <c r="CE127" s="106">
        <f>IF(CB127=CB128,1,"")</f>
        <v>1</v>
      </c>
      <c r="CF127" s="106">
        <f>IF(CB127=CB129,1,"")</f>
        <v>1</v>
      </c>
      <c r="CG127" s="106">
        <f>IF(CB127=CB130,1,"")</f>
        <v>1</v>
      </c>
      <c r="CH127" s="106">
        <f>IF(CB127=CB131,1,"")</f>
        <v>1</v>
      </c>
      <c r="CI127" s="106">
        <f>IF(CB127=CB132,1,"")</f>
        <v>1</v>
      </c>
      <c r="CJ127" s="105">
        <f t="shared" si="176"/>
        <v>5</v>
      </c>
      <c r="CK127" s="107"/>
      <c r="CY127" s="109" t="str">
        <f t="shared" ref="CY127:CY132" si="180">AM127</f>
        <v>1.</v>
      </c>
      <c r="CZ127" s="110" t="str">
        <f t="shared" ref="CZ127:CZ132" si="181">H127</f>
        <v/>
      </c>
      <c r="DA127" s="110"/>
      <c r="DB127" s="44" t="str">
        <f t="shared" ref="DB127:DB132" si="182">IF(DE127&gt;0,VLOOKUP(DC127,$CY$126:$CZ$132,2,0),"")</f>
        <v/>
      </c>
      <c r="DC127" s="27" t="s">
        <v>202</v>
      </c>
      <c r="DE127" s="44">
        <f t="shared" ref="DE127:DE132" si="183">IF(CZ127="",0,7)</f>
        <v>0</v>
      </c>
      <c r="DF127" s="1" t="s">
        <v>220</v>
      </c>
    </row>
    <row r="128" spans="2:113" ht="30" customHeight="1" x14ac:dyDescent="0.55000000000000004">
      <c r="D128" s="85" t="str">
        <f>IF(B126=5,$DC$10,IF(B126=6,$DD$10,IF(B126=7,$DE$10,"")))</f>
        <v/>
      </c>
      <c r="E128" s="85" t="str">
        <f>IF(B126=5,$DC$11,IF(B126=6,$DD$11,IF(B126=7,$DE$11,"")))</f>
        <v/>
      </c>
      <c r="F128" s="85" t="str">
        <f>IF(B126=5,$DC$12,IF(B126=6,$DD$12,IF(B126=7,$DE$12,"")))</f>
        <v/>
      </c>
      <c r="G128" s="86" t="s">
        <v>36</v>
      </c>
      <c r="H128" s="358" t="str">
        <f>IF(AND(I38=8,CX44&gt;0,I48="ANO"),CS27,"")</f>
        <v/>
      </c>
      <c r="I128" s="358"/>
      <c r="J128" s="111" t="str">
        <f>IF(R126="","",R126)</f>
        <v/>
      </c>
      <c r="K128" s="91" t="str">
        <f t="shared" si="177"/>
        <v/>
      </c>
      <c r="L128" s="112" t="str">
        <f>IF(P126="","",P126)</f>
        <v/>
      </c>
      <c r="M128" s="111" t="str">
        <f>IF(R127="","",R127)</f>
        <v/>
      </c>
      <c r="N128" s="91" t="str">
        <f>IF(AND(M128="",O128=""),"",":")</f>
        <v/>
      </c>
      <c r="O128" s="112" t="str">
        <f>IF(P127="","",P127)</f>
        <v/>
      </c>
      <c r="P128" s="87"/>
      <c r="Q128" s="88"/>
      <c r="R128" s="89"/>
      <c r="S128" s="90"/>
      <c r="T128" s="91" t="str">
        <f>IF(AND(S128="",U128=""),"",":")</f>
        <v/>
      </c>
      <c r="U128" s="92"/>
      <c r="V128" s="90"/>
      <c r="W128" s="91" t="str">
        <f>IF(AND(V128="",X128=""),"",":")</f>
        <v/>
      </c>
      <c r="X128" s="92"/>
      <c r="Y128" s="90"/>
      <c r="Z128" s="91" t="str">
        <f>IF(AND(Y128="",AA128=""),"",":")</f>
        <v/>
      </c>
      <c r="AA128" s="92"/>
      <c r="AB128" s="90"/>
      <c r="AC128" s="91" t="str">
        <f t="shared" si="160"/>
        <v/>
      </c>
      <c r="AD128" s="92"/>
      <c r="AE128" s="359" t="s">
        <v>285</v>
      </c>
      <c r="AF128" s="354"/>
      <c r="AG128" s="355"/>
      <c r="AH128" s="93">
        <f>IF(R126&gt;P126,1)+IF(R127&gt;P127,1)+IF(S128&gt;U128,1)+IF(V128&gt;X128,1)+IF(Y128&gt;AA128,1)+IF(AB128&gt;AD128,1)</f>
        <v>0</v>
      </c>
      <c r="AI128" s="94" t="s">
        <v>197</v>
      </c>
      <c r="AJ128" s="95">
        <f>R126+R127+S128+V128+Y128+AB128</f>
        <v>0</v>
      </c>
      <c r="AK128" s="96" t="str">
        <f t="shared" si="178"/>
        <v>:</v>
      </c>
      <c r="AL128" s="97">
        <f>P126+P127+U128+X128+AA128+AD128</f>
        <v>0</v>
      </c>
      <c r="AM128" s="98" t="str">
        <f t="shared" si="161"/>
        <v>1.</v>
      </c>
      <c r="AN128" s="99" t="str">
        <f t="shared" si="162"/>
        <v>0 b</v>
      </c>
      <c r="AO128" s="100" t="str">
        <f t="shared" si="163"/>
        <v>(0:0)</v>
      </c>
      <c r="AP128" s="101" t="str">
        <f t="shared" si="164"/>
        <v/>
      </c>
      <c r="AQ128" s="102"/>
      <c r="AR128" s="103" t="str">
        <f t="shared" si="165"/>
        <v>1.</v>
      </c>
      <c r="AS128" s="102"/>
      <c r="AT128" s="104"/>
      <c r="AU128" s="104">
        <f t="shared" si="166"/>
        <v>0</v>
      </c>
      <c r="AV128" s="104">
        <f t="shared" si="167"/>
        <v>1</v>
      </c>
      <c r="AW128" s="106">
        <f>IF(AV126=AV128,R126,"")</f>
        <v>0</v>
      </c>
      <c r="AX128" s="105">
        <f>IF(AV127=AV128,R127,"")</f>
        <v>0</v>
      </c>
      <c r="AY128" s="105"/>
      <c r="AZ128" s="105">
        <f>IF(AV128=AV129,S128,"")</f>
        <v>0</v>
      </c>
      <c r="BA128" s="105">
        <f>IF(AV128=AV130,V128,"")</f>
        <v>0</v>
      </c>
      <c r="BB128" s="105">
        <f>IF(AV128=AV131,Y128,"")</f>
        <v>0</v>
      </c>
      <c r="BC128" s="105">
        <f>IF(AV128=AV132,AB128,"")</f>
        <v>0</v>
      </c>
      <c r="BD128" s="105">
        <f t="shared" si="168"/>
        <v>0</v>
      </c>
      <c r="BE128" s="105">
        <f t="shared" si="169"/>
        <v>0</v>
      </c>
      <c r="BF128" s="105"/>
      <c r="BG128" s="104">
        <f t="shared" si="170"/>
        <v>1</v>
      </c>
      <c r="BH128" s="105">
        <f>IF(AV126=AV128,P126,"")</f>
        <v>0</v>
      </c>
      <c r="BI128" s="105">
        <f>IF(AV127=AV128,P127,"")</f>
        <v>0</v>
      </c>
      <c r="BJ128" s="105"/>
      <c r="BK128" s="105">
        <f>IF(AV128=AV129,U128,"")</f>
        <v>0</v>
      </c>
      <c r="BL128" s="105">
        <f>IF(AV128=AV130,X128,"")</f>
        <v>0</v>
      </c>
      <c r="BM128" s="105">
        <f>IF(AV128=AV131,AA128,"")</f>
        <v>0</v>
      </c>
      <c r="BN128" s="105">
        <f>IF(AV128=AV132,AD128,"")</f>
        <v>0</v>
      </c>
      <c r="BO128" s="105">
        <f t="shared" si="171"/>
        <v>0</v>
      </c>
      <c r="BQ128" s="10" t="b">
        <f t="shared" si="172"/>
        <v>0</v>
      </c>
      <c r="BR128" s="10">
        <f t="shared" si="179"/>
        <v>0</v>
      </c>
      <c r="BS128" s="10" t="b">
        <f t="shared" si="173"/>
        <v>1</v>
      </c>
      <c r="BT128" s="10">
        <v>1</v>
      </c>
      <c r="BU128" s="10">
        <v>2</v>
      </c>
      <c r="BV128" s="10">
        <v>3</v>
      </c>
      <c r="BW128" s="10">
        <v>4</v>
      </c>
      <c r="BX128" s="10">
        <v>5</v>
      </c>
      <c r="BY128" s="10"/>
      <c r="BZ128" s="10" t="str">
        <f t="shared" si="174"/>
        <v/>
      </c>
      <c r="CA128" s="107"/>
      <c r="CB128" s="104">
        <f t="shared" si="175"/>
        <v>1</v>
      </c>
      <c r="CC128" s="106"/>
      <c r="CD128" s="105"/>
      <c r="CE128" s="105"/>
      <c r="CF128" s="106">
        <f>IF(CB128=CB129,1,"")</f>
        <v>1</v>
      </c>
      <c r="CG128" s="106">
        <f>IF(CB128=CB130,1,"")</f>
        <v>1</v>
      </c>
      <c r="CH128" s="106">
        <f>IF(CB128=CB131,1,"")</f>
        <v>1</v>
      </c>
      <c r="CI128" s="106">
        <f>IF(CB128=CB132,1,"")</f>
        <v>1</v>
      </c>
      <c r="CJ128" s="105">
        <f t="shared" si="176"/>
        <v>4</v>
      </c>
      <c r="CK128" s="107"/>
      <c r="CY128" s="109" t="str">
        <f t="shared" si="180"/>
        <v>1.</v>
      </c>
      <c r="CZ128" s="110" t="str">
        <f t="shared" si="181"/>
        <v/>
      </c>
      <c r="DA128" s="110"/>
      <c r="DB128" s="44" t="str">
        <f t="shared" si="182"/>
        <v/>
      </c>
      <c r="DC128" s="27" t="s">
        <v>203</v>
      </c>
      <c r="DE128" s="44">
        <f t="shared" si="183"/>
        <v>0</v>
      </c>
    </row>
    <row r="129" spans="1:113" ht="30" customHeight="1" x14ac:dyDescent="0.55000000000000004">
      <c r="A129"/>
      <c r="D129" s="85" t="str">
        <f>IF(B126=5,$DC$13,IF(B126=6,$DD$13,IF(B126=7,$DE$13,"")))</f>
        <v/>
      </c>
      <c r="E129" s="85" t="str">
        <f>IF(B126=6,$DD$14,IF(B126=7,$DE$14,""))</f>
        <v/>
      </c>
      <c r="F129" s="85" t="str">
        <f>IF(B126=6,$DD$15,IF(B126=7,$DE$15,""))</f>
        <v/>
      </c>
      <c r="G129" s="86" t="s">
        <v>4</v>
      </c>
      <c r="H129" s="358" t="str">
        <f>IF(AND(I38=8,I48="ANO",(CV40+CV42+CV44+CV46+CX40+CX42)&gt;23,CX44&gt;3),CS35,IF(AND(I38=8,I48="ANO",(CV40+CV42+CV44+CV46+CX40+CX42)&gt;22,CX44&gt;3),CS34,IF(AND(I38=8,I48="ANO",(CV40+CV42+CV44+CV46+CX40+CX42)&gt;21,CX44&gt;3),CS33,IF(AND(I38=8,I48="ANO",(CV40+CV42+CV44+CV46+CX40+CX42)&gt;20,CX44&gt;3),CS32,IF(AND(I38=8,I48="ANO",(CV40+CV42+CV44+CV46+CX40+CX42)&gt;19,CX44&gt;3),CS31,IF(AND(I38=8,I48="ANO",(CV40+CV42+CV44+CV46+CX40+CX42)&gt;18,CX44&gt;3),CS30,IF(AND(I38=8,I48="ANO",(CV40+CV42+CV44+CV46+CX40+CX42)&gt;17,CX44&gt;3),CS29,"")))))))</f>
        <v/>
      </c>
      <c r="I129" s="358"/>
      <c r="J129" s="111" t="str">
        <f>IF(U126="","",U126)</f>
        <v/>
      </c>
      <c r="K129" s="91" t="str">
        <f t="shared" si="177"/>
        <v/>
      </c>
      <c r="L129" s="112" t="str">
        <f>IF(S126="","",S126)</f>
        <v/>
      </c>
      <c r="M129" s="111" t="str">
        <f>IF(U127="","",U127)</f>
        <v/>
      </c>
      <c r="N129" s="91" t="str">
        <f>IF(AND(M129="",O129=""),"",":")</f>
        <v/>
      </c>
      <c r="O129" s="112" t="str">
        <f>IF(S127="","",S127)</f>
        <v/>
      </c>
      <c r="P129" s="111" t="str">
        <f>IF(U128="","",U128)</f>
        <v/>
      </c>
      <c r="Q129" s="91" t="str">
        <f t="shared" si="159"/>
        <v/>
      </c>
      <c r="R129" s="112" t="str">
        <f>IF(S128="","",S128)</f>
        <v/>
      </c>
      <c r="S129" s="87"/>
      <c r="T129" s="88"/>
      <c r="U129" s="89"/>
      <c r="V129" s="90"/>
      <c r="W129" s="91" t="str">
        <f>IF(AND(V129="",X129=""),"",":")</f>
        <v/>
      </c>
      <c r="X129" s="92"/>
      <c r="Y129" s="90"/>
      <c r="Z129" s="91" t="str">
        <f>IF(AND(Y129="",AA129=""),"",":")</f>
        <v/>
      </c>
      <c r="AA129" s="92"/>
      <c r="AB129" s="90"/>
      <c r="AC129" s="91" t="str">
        <f t="shared" si="160"/>
        <v/>
      </c>
      <c r="AD129" s="92"/>
      <c r="AE129" s="353" t="s">
        <v>281</v>
      </c>
      <c r="AF129" s="354"/>
      <c r="AG129" s="355"/>
      <c r="AH129" s="93">
        <f>IF(U126&gt;S126,1)+IF(U127&gt;S127,1)+IF(U128&gt;S128,1)+IF(V129&gt;X129,1)+IF(Y129&gt;AA129,1)+IF(AB129&gt;AD129,1)</f>
        <v>0</v>
      </c>
      <c r="AI129" s="94" t="s">
        <v>197</v>
      </c>
      <c r="AJ129" s="95">
        <f>U126+U127+U128+V129+Y129+AB129</f>
        <v>0</v>
      </c>
      <c r="AK129" s="96" t="str">
        <f t="shared" si="178"/>
        <v>:</v>
      </c>
      <c r="AL129" s="97">
        <f>S126+S127+S128+X129+AA129+AD129</f>
        <v>0</v>
      </c>
      <c r="AM129" s="98" t="str">
        <f t="shared" si="161"/>
        <v>1.</v>
      </c>
      <c r="AN129" s="99" t="str">
        <f t="shared" si="162"/>
        <v>0 b</v>
      </c>
      <c r="AO129" s="100" t="str">
        <f t="shared" si="163"/>
        <v>(0:0)</v>
      </c>
      <c r="AP129" s="101" t="str">
        <f t="shared" si="164"/>
        <v/>
      </c>
      <c r="AQ129" s="102"/>
      <c r="AR129" s="103" t="str">
        <f t="shared" si="165"/>
        <v>1.</v>
      </c>
      <c r="AS129" s="102"/>
      <c r="AT129" s="104"/>
      <c r="AU129" s="104">
        <f t="shared" si="166"/>
        <v>0</v>
      </c>
      <c r="AV129" s="104">
        <f t="shared" si="167"/>
        <v>1</v>
      </c>
      <c r="AW129" s="106">
        <f>IF(AV126=AV129,U126,"")</f>
        <v>0</v>
      </c>
      <c r="AX129" s="105">
        <f>IF(AV127=AV129,U127,"")</f>
        <v>0</v>
      </c>
      <c r="AY129" s="105">
        <f>IF(AV128=AV129,U128,"")</f>
        <v>0</v>
      </c>
      <c r="AZ129" s="105"/>
      <c r="BA129" s="105">
        <f>IF(AV129=AV130,V129,"")</f>
        <v>0</v>
      </c>
      <c r="BB129" s="105">
        <f>IF(AV129=AV131,Y129,"")</f>
        <v>0</v>
      </c>
      <c r="BC129" s="105">
        <f>IF(AV129=AV132,AB129,"")</f>
        <v>0</v>
      </c>
      <c r="BD129" s="105">
        <f t="shared" si="168"/>
        <v>0</v>
      </c>
      <c r="BE129" s="105">
        <f t="shared" si="169"/>
        <v>0</v>
      </c>
      <c r="BF129" s="105"/>
      <c r="BG129" s="104">
        <f t="shared" si="170"/>
        <v>1</v>
      </c>
      <c r="BH129" s="105">
        <f>IF(AV126=AV129,S126,"")</f>
        <v>0</v>
      </c>
      <c r="BI129" s="105">
        <f>IF(AV127=AV129,S127,"")</f>
        <v>0</v>
      </c>
      <c r="BJ129" s="105">
        <f>IF(AV128=AV129,S128,"")</f>
        <v>0</v>
      </c>
      <c r="BK129" s="105"/>
      <c r="BL129" s="105">
        <f>IF(AV129=AV130,X129,"")</f>
        <v>0</v>
      </c>
      <c r="BM129" s="105">
        <f>IF(AV129=AV131,AA129,"")</f>
        <v>0</v>
      </c>
      <c r="BN129" s="105">
        <f>IF(AV129=AV132,AD129,"")</f>
        <v>0</v>
      </c>
      <c r="BO129" s="105">
        <f t="shared" si="171"/>
        <v>0</v>
      </c>
      <c r="BQ129" s="10" t="b">
        <f t="shared" si="172"/>
        <v>0</v>
      </c>
      <c r="BR129" s="10">
        <f t="shared" si="179"/>
        <v>0</v>
      </c>
      <c r="BS129" s="10" t="b">
        <f t="shared" si="173"/>
        <v>1</v>
      </c>
      <c r="BT129" s="10">
        <f>BT127*BT128</f>
        <v>0</v>
      </c>
      <c r="BU129" s="10">
        <f>BU127*BU128</f>
        <v>0</v>
      </c>
      <c r="BV129" s="10">
        <f>BV127*BV128</f>
        <v>0</v>
      </c>
      <c r="BW129" s="10">
        <f>BW127*BW128</f>
        <v>0</v>
      </c>
      <c r="BX129" s="10">
        <f>BX127*BX128</f>
        <v>0</v>
      </c>
      <c r="BY129" s="10"/>
      <c r="BZ129" s="10" t="str">
        <f t="shared" si="174"/>
        <v/>
      </c>
      <c r="CA129" s="107"/>
      <c r="CB129" s="104">
        <f t="shared" si="175"/>
        <v>1</v>
      </c>
      <c r="CC129" s="106"/>
      <c r="CD129" s="105"/>
      <c r="CE129" s="105"/>
      <c r="CF129" s="105"/>
      <c r="CG129" s="106">
        <f>IF(CB129=CB130,1,"")</f>
        <v>1</v>
      </c>
      <c r="CH129" s="106">
        <f>IF(CB129=CB131,1,"")</f>
        <v>1</v>
      </c>
      <c r="CI129" s="106">
        <f>IF(CB129=CB132,1,"")</f>
        <v>1</v>
      </c>
      <c r="CJ129" s="105">
        <f t="shared" si="176"/>
        <v>3</v>
      </c>
      <c r="CK129" s="107"/>
      <c r="CY129" s="109" t="str">
        <f t="shared" si="180"/>
        <v>1.</v>
      </c>
      <c r="CZ129" s="110" t="str">
        <f t="shared" si="181"/>
        <v/>
      </c>
      <c r="DA129" s="110"/>
      <c r="DB129" s="44" t="str">
        <f t="shared" si="182"/>
        <v/>
      </c>
      <c r="DC129" s="27" t="s">
        <v>204</v>
      </c>
      <c r="DE129" s="44">
        <f t="shared" si="183"/>
        <v>0</v>
      </c>
      <c r="DF129" s="44">
        <f>IF(($AJ$129+$AL$129)&gt;0,7,0)</f>
        <v>0</v>
      </c>
      <c r="DG129" s="44">
        <f>IF(($AJ$129+$AL$129)&gt;0,7,0)</f>
        <v>0</v>
      </c>
      <c r="DH129" s="44">
        <f>IF(($AJ$129+$AL$129)&gt;0,7,0)</f>
        <v>0</v>
      </c>
      <c r="DI129" s="44">
        <f>IF(($AJ$129+$AL$129)&gt;0,7,0)</f>
        <v>0</v>
      </c>
    </row>
    <row r="130" spans="1:113" ht="30" customHeight="1" x14ac:dyDescent="0.55000000000000004">
      <c r="D130" s="85" t="str">
        <f>IF(B126=6,$DD$16,IF(B126=7,$DE$16,""))</f>
        <v/>
      </c>
      <c r="E130" s="85" t="str">
        <f>IF(B126=6,$DD$17,IF(B126=7,$DE$17,""))</f>
        <v/>
      </c>
      <c r="F130" s="85" t="str">
        <f>IF(B126=6,$DD$18,IF(B126=7,$DE$18,""))</f>
        <v/>
      </c>
      <c r="G130" s="86" t="s">
        <v>5</v>
      </c>
      <c r="H130" s="358" t="str">
        <f>IF(AND(I38=8,I48="ANO",(CV40+CV42+CV44+CV46+CX40+CX42)&gt;29,CX44&gt;4),CS43,IF(AND(I38=8,I48="ANO",(CV40+CV42+CV44+CV46+CX40+CX42)&gt;28,CX44&gt;4),CS42,IF(AND(I38=8,I48="ANO",(CV40+CV42+CV44+CV46+CX40+CX42)&gt;27,CX44&gt;4),CS41,IF(AND(I38=8,I48="ANO",(CV40+CV42+CV44+CV46+CX40+CX42)&gt;26,CX44&gt;4),CS40,IF(AND(I38=8,I48="ANO",(CV40+CV42+CV44+CV46+CX40+CX42)&gt;25,CX44&gt;4),CS39,IF(AND(I38=8,I48="ANO",(CV40+CV42+CV44+CV46+CX40+CX42)&gt;24,CX44&gt;4),CS38,IF(AND(I38=8,I48="ANO",(CV40+CV42+CV44+CV46+CX40+CX42)&gt;23,CX44&gt;4),CS37,"")))))))</f>
        <v/>
      </c>
      <c r="I130" s="358"/>
      <c r="J130" s="111" t="str">
        <f>IF(X126="","",X126)</f>
        <v/>
      </c>
      <c r="K130" s="91" t="str">
        <f t="shared" si="177"/>
        <v/>
      </c>
      <c r="L130" s="112" t="str">
        <f>IF(V126="","",V126)</f>
        <v/>
      </c>
      <c r="M130" s="111" t="str">
        <f>IF(X127="","",X127)</f>
        <v/>
      </c>
      <c r="N130" s="91" t="str">
        <f>IF(AND(M130="",O130=""),"",":")</f>
        <v/>
      </c>
      <c r="O130" s="112" t="str">
        <f>IF(V127="","",V127)</f>
        <v/>
      </c>
      <c r="P130" s="111" t="str">
        <f>IF(X128="","",X128)</f>
        <v/>
      </c>
      <c r="Q130" s="91" t="str">
        <f t="shared" si="159"/>
        <v/>
      </c>
      <c r="R130" s="112" t="str">
        <f>IF(V128="","",V128)</f>
        <v/>
      </c>
      <c r="S130" s="111" t="str">
        <f>IF(X129="","",X129)</f>
        <v/>
      </c>
      <c r="T130" s="91" t="str">
        <f>IF(AND(S130="",U130=""),"",":")</f>
        <v/>
      </c>
      <c r="U130" s="112" t="str">
        <f>IF(V129="","",V129)</f>
        <v/>
      </c>
      <c r="V130" s="87"/>
      <c r="W130" s="88"/>
      <c r="X130" s="89"/>
      <c r="Y130" s="90"/>
      <c r="Z130" s="91" t="str">
        <f>IF(AND(Y130="",AA130=""),"",":")</f>
        <v/>
      </c>
      <c r="AA130" s="92"/>
      <c r="AB130" s="90"/>
      <c r="AC130" s="91" t="str">
        <f t="shared" si="160"/>
        <v/>
      </c>
      <c r="AD130" s="92"/>
      <c r="AE130" s="359" t="s">
        <v>286</v>
      </c>
      <c r="AF130" s="354"/>
      <c r="AG130" s="355"/>
      <c r="AH130" s="93">
        <f>IF(X126&gt;V126,1)+IF(X127&gt;V127,1)+IF(X128&gt;V128,1)+IF(X129&gt;V129,1)+IF(Y130&gt;AA130,1)+IF(AB130&gt;AD130,1)</f>
        <v>0</v>
      </c>
      <c r="AI130" s="94" t="s">
        <v>197</v>
      </c>
      <c r="AJ130" s="95">
        <f>X126+X127+X128+X129+Y130+AB130</f>
        <v>0</v>
      </c>
      <c r="AK130" s="96" t="str">
        <f t="shared" si="178"/>
        <v>:</v>
      </c>
      <c r="AL130" s="97">
        <f>V126+V127+V128+V129+AA130+AD130</f>
        <v>0</v>
      </c>
      <c r="AM130" s="98" t="str">
        <f t="shared" si="161"/>
        <v>1.</v>
      </c>
      <c r="AN130" s="99" t="str">
        <f t="shared" si="162"/>
        <v>0 b</v>
      </c>
      <c r="AO130" s="100" t="str">
        <f t="shared" si="163"/>
        <v>(0:0)</v>
      </c>
      <c r="AP130" s="101" t="str">
        <f t="shared" si="164"/>
        <v/>
      </c>
      <c r="AQ130" s="102"/>
      <c r="AR130" s="103" t="str">
        <f t="shared" si="165"/>
        <v>1.</v>
      </c>
      <c r="AS130" s="102"/>
      <c r="AT130" s="104"/>
      <c r="AU130" s="104">
        <f t="shared" si="166"/>
        <v>0</v>
      </c>
      <c r="AV130" s="104">
        <f t="shared" si="167"/>
        <v>1</v>
      </c>
      <c r="AW130" s="106">
        <f>IF(AV126=AV130,X126,"")</f>
        <v>0</v>
      </c>
      <c r="AX130" s="105">
        <f>IF(AV127=AV130,X127,"")</f>
        <v>0</v>
      </c>
      <c r="AY130" s="105">
        <f>IF(AV128=AV130,X128,"")</f>
        <v>0</v>
      </c>
      <c r="AZ130" s="105">
        <f>IF(AV129=AV130,X129,"")</f>
        <v>0</v>
      </c>
      <c r="BA130" s="105"/>
      <c r="BB130" s="105">
        <f>IF(AV130=AV131,Y130,"")</f>
        <v>0</v>
      </c>
      <c r="BC130" s="105">
        <f>IF(AV130=AV132,AB130,"")</f>
        <v>0</v>
      </c>
      <c r="BD130" s="105">
        <f t="shared" si="168"/>
        <v>0</v>
      </c>
      <c r="BE130" s="105">
        <f t="shared" si="169"/>
        <v>0</v>
      </c>
      <c r="BF130" s="105"/>
      <c r="BG130" s="104">
        <f t="shared" si="170"/>
        <v>1</v>
      </c>
      <c r="BH130" s="105">
        <f>IF(AV126=AV130,V126,"")</f>
        <v>0</v>
      </c>
      <c r="BI130" s="105">
        <f>IF(AV127=AV130,V127,"")</f>
        <v>0</v>
      </c>
      <c r="BJ130" s="105">
        <f>IF(AV128=AV130,V128,"")</f>
        <v>0</v>
      </c>
      <c r="BK130" s="105">
        <f>IF(AV129=AV130,V129,"")</f>
        <v>0</v>
      </c>
      <c r="BL130" s="105"/>
      <c r="BM130" s="105">
        <f>IF(AV130=AV131,AA130,"")</f>
        <v>0</v>
      </c>
      <c r="BN130" s="105">
        <f>IF(AV130=AV132,AD130,"")</f>
        <v>0</v>
      </c>
      <c r="BO130" s="105">
        <f t="shared" si="171"/>
        <v>0</v>
      </c>
      <c r="BQ130" s="10" t="b">
        <f t="shared" si="172"/>
        <v>0</v>
      </c>
      <c r="BR130" s="10">
        <f t="shared" si="179"/>
        <v>0</v>
      </c>
      <c r="BS130" s="10" t="b">
        <f t="shared" si="173"/>
        <v>1</v>
      </c>
      <c r="BT130" s="10" t="str">
        <f>IF(BT129=0,"",BT129)</f>
        <v/>
      </c>
      <c r="BU130" s="10" t="str">
        <f>IF(BU129=0,"",BU129)</f>
        <v/>
      </c>
      <c r="BV130" s="10" t="str">
        <f>IF(BV129=0,"",BV129)</f>
        <v/>
      </c>
      <c r="BW130" s="10" t="str">
        <f>IF(BW129=0,"",BW129)</f>
        <v/>
      </c>
      <c r="BX130" s="10" t="str">
        <f>IF(BX129=0,"",BX129)</f>
        <v/>
      </c>
      <c r="BY130" s="10"/>
      <c r="BZ130" s="10" t="str">
        <f t="shared" si="174"/>
        <v/>
      </c>
      <c r="CA130" s="107"/>
      <c r="CB130" s="104">
        <f t="shared" si="175"/>
        <v>1</v>
      </c>
      <c r="CC130" s="106"/>
      <c r="CD130" s="105"/>
      <c r="CE130" s="105"/>
      <c r="CF130" s="105"/>
      <c r="CG130" s="105"/>
      <c r="CH130" s="106">
        <f>IF(CB130=CB131,1,"")</f>
        <v>1</v>
      </c>
      <c r="CI130" s="106">
        <f>IF(CB130=CB132,1,"")</f>
        <v>1</v>
      </c>
      <c r="CJ130" s="105">
        <f t="shared" si="176"/>
        <v>2</v>
      </c>
      <c r="CK130" s="107"/>
      <c r="CY130" s="109" t="str">
        <f t="shared" si="180"/>
        <v>1.</v>
      </c>
      <c r="CZ130" s="110" t="str">
        <f t="shared" si="181"/>
        <v/>
      </c>
      <c r="DA130" s="110"/>
      <c r="DB130" s="44" t="str">
        <f t="shared" si="182"/>
        <v/>
      </c>
      <c r="DC130" s="27" t="s">
        <v>205</v>
      </c>
      <c r="DE130" s="44">
        <f t="shared" si="183"/>
        <v>0</v>
      </c>
      <c r="DF130" s="44">
        <f>IF(($AJ$130+$AL$130)&gt;0,7,0)</f>
        <v>0</v>
      </c>
      <c r="DG130" s="44">
        <f>IF(($AJ$130+$AL$130)&gt;0,7,0)</f>
        <v>0</v>
      </c>
      <c r="DH130" s="44">
        <f>IF(($AJ$130+$AL$130)&gt;0,7,0)</f>
        <v>0</v>
      </c>
      <c r="DI130" s="44">
        <f>IF(($AJ$130+$AL$130)&gt;0,7,0)</f>
        <v>0</v>
      </c>
    </row>
    <row r="131" spans="1:113" ht="30" customHeight="1" x14ac:dyDescent="0.55000000000000004">
      <c r="D131" s="85" t="str">
        <f>IF(B126=7,$DE$19,"")</f>
        <v/>
      </c>
      <c r="E131" s="85" t="str">
        <f>IF(B126=7,$DE$20,"")</f>
        <v/>
      </c>
      <c r="F131" s="85" t="str">
        <f>IF(B126=7,$DE$21,"")</f>
        <v/>
      </c>
      <c r="G131" s="86" t="s">
        <v>6</v>
      </c>
      <c r="H131" s="358" t="str">
        <f>IF(AND(I38=8,I48="ANO",(CV40+CV42+CV44+CV46+CX40+CX42)&gt;35,CX44&gt;5),CS51,IF(AND(I38=8,I48="ANO",(CV40+CV42+CV44+CV46+CX40+CX42)&gt;34,CX44&gt;5),CS50,IF(AND(I38=8,I48="ANO",(CV40+CV42+CV44+CV46+CX40+CX42)&gt;33,CX44&gt;5),CS49,IF(AND(I38=8,I48="ANO",(CV40+CV42+CV44+CV46+CX40+CX42)&gt;32,CX44&gt;5),CS48,IF(AND(I38=8,I48="ANO",(CV40+CV42+CV44+CV46+CX40+CX42)&gt;31,CX44&gt;5),CS47,IF(AND(I38=8,I48="ANO",(CV40+CV42+CV44+CV46+CX40+CX42)&gt;30,CX44&gt;5),CS46,IF(AND(I38=8,I48="ANO",(CV40+CV42+CV44+CV46+CX40+CX42)&gt;29,CX44&gt;5),CS45,"")))))))</f>
        <v/>
      </c>
      <c r="I131" s="358"/>
      <c r="J131" s="111" t="str">
        <f>IF(AA126="","",AA126)</f>
        <v/>
      </c>
      <c r="K131" s="91" t="str">
        <f t="shared" si="177"/>
        <v/>
      </c>
      <c r="L131" s="112" t="str">
        <f>IF(Y126="","",Y126)</f>
        <v/>
      </c>
      <c r="M131" s="111" t="str">
        <f>IF(AA127="","",AA127)</f>
        <v/>
      </c>
      <c r="N131" s="91" t="str">
        <f>IF(AND(M131="",O131=""),"",":")</f>
        <v/>
      </c>
      <c r="O131" s="112" t="str">
        <f>IF(Y127="","",Y127)</f>
        <v/>
      </c>
      <c r="P131" s="111" t="str">
        <f>IF(AA128="","",AA128)</f>
        <v/>
      </c>
      <c r="Q131" s="91" t="str">
        <f t="shared" si="159"/>
        <v/>
      </c>
      <c r="R131" s="112" t="str">
        <f>IF(Y128="","",Y128)</f>
        <v/>
      </c>
      <c r="S131" s="111" t="str">
        <f>IF(AA129="","",AA129)</f>
        <v/>
      </c>
      <c r="T131" s="91" t="str">
        <f>IF(AND(S131="",U131=""),"",":")</f>
        <v/>
      </c>
      <c r="U131" s="112" t="str">
        <f>IF(Y129="","",Y129)</f>
        <v/>
      </c>
      <c r="V131" s="111" t="str">
        <f>IF(AA130="","",AA130)</f>
        <v/>
      </c>
      <c r="W131" s="91" t="str">
        <f>IF(AND(V131="",X131=""),"",":")</f>
        <v/>
      </c>
      <c r="X131" s="112" t="str">
        <f>IF(Y130="","",Y130)</f>
        <v/>
      </c>
      <c r="Y131" s="87"/>
      <c r="Z131" s="88"/>
      <c r="AA131" s="89"/>
      <c r="AB131" s="90"/>
      <c r="AC131" s="91" t="str">
        <f t="shared" si="160"/>
        <v/>
      </c>
      <c r="AD131" s="92"/>
      <c r="AE131" s="353" t="s">
        <v>287</v>
      </c>
      <c r="AF131" s="354"/>
      <c r="AG131" s="355"/>
      <c r="AH131" s="93">
        <f>IF(AA126&gt;Y126,1)+IF(AA127&gt;Y127,1)+IF(AA128&gt;Y128,1)+IF(AA129&gt;Y129,1)+IF(AA130&gt;Y130,1)+IF(AB131&gt;AD131,1)</f>
        <v>0</v>
      </c>
      <c r="AI131" s="94" t="s">
        <v>197</v>
      </c>
      <c r="AJ131" s="95">
        <f>AA126+AA127+AA128+AA129+AA130+AB131</f>
        <v>0</v>
      </c>
      <c r="AK131" s="96" t="str">
        <f t="shared" si="178"/>
        <v>:</v>
      </c>
      <c r="AL131" s="97">
        <f>Y126+Y127+Y128+Y129+Y130+AD131</f>
        <v>0</v>
      </c>
      <c r="AM131" s="98" t="str">
        <f t="shared" si="161"/>
        <v>1.</v>
      </c>
      <c r="AN131" s="99" t="str">
        <f t="shared" si="162"/>
        <v>0 b</v>
      </c>
      <c r="AO131" s="100" t="str">
        <f t="shared" si="163"/>
        <v>(0:0)</v>
      </c>
      <c r="AP131" s="101" t="str">
        <f t="shared" si="164"/>
        <v/>
      </c>
      <c r="AQ131" s="102"/>
      <c r="AR131" s="103" t="str">
        <f t="shared" si="165"/>
        <v>1.</v>
      </c>
      <c r="AS131" s="102"/>
      <c r="AT131" s="104"/>
      <c r="AU131" s="104">
        <f t="shared" si="166"/>
        <v>0</v>
      </c>
      <c r="AV131" s="104">
        <f t="shared" si="167"/>
        <v>1</v>
      </c>
      <c r="AW131" s="106">
        <f>IF(AV126=AV131,AA126,"")</f>
        <v>0</v>
      </c>
      <c r="AX131" s="105">
        <f>IF(AV127=AV131,AA127,"")</f>
        <v>0</v>
      </c>
      <c r="AY131" s="105">
        <f>IF(AV128=AV131,AA128,"")</f>
        <v>0</v>
      </c>
      <c r="AZ131" s="105">
        <f>IF(AV129=AV131,AA129,"")</f>
        <v>0</v>
      </c>
      <c r="BA131" s="105">
        <f>IF(AV130=AV131,AA130,"")</f>
        <v>0</v>
      </c>
      <c r="BB131" s="105"/>
      <c r="BC131" s="105">
        <f>IF(AV131=AV132,AB131,"")</f>
        <v>0</v>
      </c>
      <c r="BD131" s="105">
        <f t="shared" si="168"/>
        <v>0</v>
      </c>
      <c r="BE131" s="105">
        <f t="shared" si="169"/>
        <v>0</v>
      </c>
      <c r="BF131" s="105"/>
      <c r="BG131" s="104">
        <f t="shared" si="170"/>
        <v>1</v>
      </c>
      <c r="BH131" s="105">
        <f>IF(AV126=AV131,Y126,"")</f>
        <v>0</v>
      </c>
      <c r="BI131" s="105">
        <f>IF(AV127=AV131,Y127,"")</f>
        <v>0</v>
      </c>
      <c r="BJ131" s="105">
        <f>IF(AV128=AV131,Y128,"")</f>
        <v>0</v>
      </c>
      <c r="BK131" s="105">
        <f>IF(AV129=AV131,Y129,"")</f>
        <v>0</v>
      </c>
      <c r="BL131" s="105">
        <f>IF(AV130=AV131,Y130,"")</f>
        <v>0</v>
      </c>
      <c r="BM131" s="105"/>
      <c r="BN131" s="105">
        <f>IF(AV131=AV132,AD131,"")</f>
        <v>0</v>
      </c>
      <c r="BO131" s="105">
        <f t="shared" si="171"/>
        <v>0</v>
      </c>
      <c r="BQ131" s="10" t="b">
        <f t="shared" si="172"/>
        <v>0</v>
      </c>
      <c r="BR131" s="10">
        <f t="shared" si="179"/>
        <v>0</v>
      </c>
      <c r="BS131" s="10" t="b">
        <f t="shared" si="173"/>
        <v>1</v>
      </c>
      <c r="BT131" s="10"/>
      <c r="BU131" s="10"/>
      <c r="BV131" s="10"/>
      <c r="BW131" s="10"/>
      <c r="BX131" s="10"/>
      <c r="BY131" s="10"/>
      <c r="BZ131" s="10" t="str">
        <f t="shared" si="174"/>
        <v/>
      </c>
      <c r="CA131" s="107"/>
      <c r="CB131" s="104">
        <f t="shared" si="175"/>
        <v>1</v>
      </c>
      <c r="CC131" s="106"/>
      <c r="CD131" s="105"/>
      <c r="CE131" s="105"/>
      <c r="CF131" s="105"/>
      <c r="CG131" s="105"/>
      <c r="CH131" s="105"/>
      <c r="CI131" s="106">
        <f>IF(CB131=CB132,1,"")</f>
        <v>1</v>
      </c>
      <c r="CJ131" s="105">
        <f t="shared" si="176"/>
        <v>1</v>
      </c>
      <c r="CK131" s="107"/>
      <c r="CY131" s="109" t="str">
        <f t="shared" si="180"/>
        <v>1.</v>
      </c>
      <c r="CZ131" s="110" t="str">
        <f t="shared" si="181"/>
        <v/>
      </c>
      <c r="DA131" s="110"/>
      <c r="DB131" s="44" t="str">
        <f t="shared" si="182"/>
        <v/>
      </c>
      <c r="DC131" s="27" t="s">
        <v>206</v>
      </c>
      <c r="DE131" s="44">
        <f t="shared" si="183"/>
        <v>0</v>
      </c>
      <c r="DF131" s="44">
        <f>IF(($AJ$131+$AL$131)&gt;0,7,0)</f>
        <v>0</v>
      </c>
      <c r="DG131" s="44">
        <f>IF(($AJ$131+$AL$131)&gt;0,7,0)</f>
        <v>0</v>
      </c>
      <c r="DH131" s="44">
        <f>IF(($AJ$131+$AL$131)&gt;0,7,0)</f>
        <v>0</v>
      </c>
      <c r="DI131" s="44">
        <f>IF(($AJ$131+$AL$131)&gt;0,7,0)</f>
        <v>0</v>
      </c>
    </row>
    <row r="132" spans="1:113" ht="30" customHeight="1" x14ac:dyDescent="0.55000000000000004">
      <c r="D132" s="85" t="str">
        <f>IF(B126=7,$DE$22,"")</f>
        <v/>
      </c>
      <c r="E132" s="85" t="str">
        <f>IF(B126=7,$DE$23,"")</f>
        <v/>
      </c>
      <c r="F132" s="85" t="str">
        <f>IF(B126=7,$DE$24,"")</f>
        <v/>
      </c>
      <c r="G132" s="86" t="s">
        <v>7</v>
      </c>
      <c r="H132" s="358" t="str">
        <f>IF(AND(I38=8,I48="ANO",(CV40+CV42+CV44+CV46+CX40+CX42)&gt;41,CX44&gt;6),CS59,IF(AND(I38=8,I48="ANO",(CV40+CV42+CV44+CV46+CX40+CX42)&gt;40,CX44&gt;6),CS58,IF(AND(I38=8,I48="ANO",(CV40+CV42+CV44+CV46+CX40+CX42)&gt;39,CX44&gt;6),CS57,IF(AND(I38=8,I48="ANO",(CV40+CV42+CV44+CV46+CX40+CX42)&gt;38,CX44&gt;6),CS56,IF(AND(I38=8,I48="ANO",(CV40+CV42+CV44+CV46+CX40+CX42)&gt;37,CX44&gt;6),CS55,IF(AND(I38=8,I48="ANO",(CV40+CV42+CV44+CV46+CX40+CX42)&gt;36,CX44&gt;6),CS54,IF(AND(I38=8,I48="ANO",(CV40+CV42+CV44+CV46+CX40+CX42)&gt;35,CX44&gt;6),CS53,"")))))))</f>
        <v/>
      </c>
      <c r="I132" s="358"/>
      <c r="J132" s="111" t="str">
        <f>IF(AD126="","",AD126)</f>
        <v/>
      </c>
      <c r="K132" s="91" t="str">
        <f t="shared" si="177"/>
        <v/>
      </c>
      <c r="L132" s="112" t="str">
        <f>IF(AB126="","",AB126)</f>
        <v/>
      </c>
      <c r="M132" s="111" t="str">
        <f>IF(AD127="","",AD127)</f>
        <v/>
      </c>
      <c r="N132" s="91" t="str">
        <f>IF(AND(M132="",O132=""),"",":")</f>
        <v/>
      </c>
      <c r="O132" s="112" t="str">
        <f>IF(AB127="","",AB127)</f>
        <v/>
      </c>
      <c r="P132" s="111" t="str">
        <f>IF(AD128="","",AD128)</f>
        <v/>
      </c>
      <c r="Q132" s="91" t="str">
        <f t="shared" si="159"/>
        <v/>
      </c>
      <c r="R132" s="112" t="str">
        <f>IF(AB128="","",AB128)</f>
        <v/>
      </c>
      <c r="S132" s="111" t="str">
        <f>IF(AD129="","",AD129)</f>
        <v/>
      </c>
      <c r="T132" s="91" t="str">
        <f>IF(AND(S132="",U132=""),"",":")</f>
        <v/>
      </c>
      <c r="U132" s="112" t="str">
        <f>IF(AB129="","",AB129)</f>
        <v/>
      </c>
      <c r="V132" s="111" t="str">
        <f>IF(AD130="","",AD130)</f>
        <v/>
      </c>
      <c r="W132" s="91" t="str">
        <f>IF(AND(V132="",X132=""),"",":")</f>
        <v/>
      </c>
      <c r="X132" s="112" t="str">
        <f>IF(AB130="","",AB130)</f>
        <v/>
      </c>
      <c r="Y132" s="111" t="str">
        <f>IF(AD131="","",AD131)</f>
        <v/>
      </c>
      <c r="Z132" s="91" t="str">
        <f>IF(AND(Y132="",AA132=""),"",":")</f>
        <v/>
      </c>
      <c r="AA132" s="112" t="str">
        <f>IF(AB131="","",AB131)</f>
        <v/>
      </c>
      <c r="AB132" s="87"/>
      <c r="AC132" s="88"/>
      <c r="AD132" s="89"/>
      <c r="AE132" s="359" t="s">
        <v>288</v>
      </c>
      <c r="AF132" s="354"/>
      <c r="AG132" s="355"/>
      <c r="AH132" s="93">
        <f>IF(AD126&gt;AB126,1)+IF(AD127&gt;AB127,1)+IF(AD128&gt;AB128,1)+IF(AD129&gt;AB129,1)+IF(AD130&gt;AB130,1)+IF(AD131&gt;AB131,1)</f>
        <v>0</v>
      </c>
      <c r="AI132" s="94" t="s">
        <v>197</v>
      </c>
      <c r="AJ132" s="95">
        <f>AD126+AD127+AD128+AD129+AD130+AD131</f>
        <v>0</v>
      </c>
      <c r="AK132" s="96" t="str">
        <f t="shared" si="178"/>
        <v>:</v>
      </c>
      <c r="AL132" s="97">
        <f>AB126+AB127+AB128+AB129+AB130+AB131</f>
        <v>0</v>
      </c>
      <c r="AM132" s="98" t="str">
        <f t="shared" si="161"/>
        <v>1.</v>
      </c>
      <c r="AN132" s="99" t="str">
        <f t="shared" si="162"/>
        <v>0 b</v>
      </c>
      <c r="AO132" s="100" t="str">
        <f t="shared" si="163"/>
        <v>(0:0)</v>
      </c>
      <c r="AP132" s="101" t="str">
        <f t="shared" si="164"/>
        <v/>
      </c>
      <c r="AQ132" s="102"/>
      <c r="AR132" s="103" t="str">
        <f t="shared" si="165"/>
        <v>1.</v>
      </c>
      <c r="AS132" s="102"/>
      <c r="AT132" s="104"/>
      <c r="AU132" s="104">
        <f t="shared" si="166"/>
        <v>0</v>
      </c>
      <c r="AV132" s="104">
        <f t="shared" si="167"/>
        <v>1</v>
      </c>
      <c r="AW132" s="106">
        <f>IF(AV126=AV132,AD126,"")</f>
        <v>0</v>
      </c>
      <c r="AX132" s="105">
        <f>IF(AV127=AV132,AD127,"")</f>
        <v>0</v>
      </c>
      <c r="AY132" s="105">
        <f>IF(AV128=AV132,AD128,"")</f>
        <v>0</v>
      </c>
      <c r="AZ132" s="105">
        <f>IF(AV129=AV132,AD129,"")</f>
        <v>0</v>
      </c>
      <c r="BA132" s="105">
        <f>IF(AV130=AV132,AD130,"")</f>
        <v>0</v>
      </c>
      <c r="BB132" s="105">
        <f>IF(AV131=AV132,AD131,"")</f>
        <v>0</v>
      </c>
      <c r="BC132" s="105"/>
      <c r="BD132" s="105">
        <f t="shared" si="168"/>
        <v>0</v>
      </c>
      <c r="BE132" s="105">
        <f t="shared" si="169"/>
        <v>0</v>
      </c>
      <c r="BF132" s="105"/>
      <c r="BG132" s="104">
        <f t="shared" si="170"/>
        <v>1</v>
      </c>
      <c r="BH132" s="105">
        <f>IF(AV126=AV132,AB126,"")</f>
        <v>0</v>
      </c>
      <c r="BI132" s="105">
        <f>IF(AV127=AV132,AB127,"")</f>
        <v>0</v>
      </c>
      <c r="BJ132" s="105">
        <f>IF(AV128=AV132,AB128,"")</f>
        <v>0</v>
      </c>
      <c r="BK132" s="105">
        <f>IF(AV129=AV132,AB129,"")</f>
        <v>0</v>
      </c>
      <c r="BL132" s="105">
        <f>IF(AV130=AV132,AB130,"")</f>
        <v>0</v>
      </c>
      <c r="BM132" s="105">
        <f>IF(AV131=AV132,AB131,"")</f>
        <v>0</v>
      </c>
      <c r="BN132" s="105"/>
      <c r="BO132" s="105">
        <f t="shared" si="171"/>
        <v>0</v>
      </c>
      <c r="BQ132" s="10" t="b">
        <f t="shared" si="172"/>
        <v>0</v>
      </c>
      <c r="BR132" s="10">
        <f t="shared" si="179"/>
        <v>0</v>
      </c>
      <c r="BS132" s="10" t="b">
        <f t="shared" si="173"/>
        <v>1</v>
      </c>
      <c r="BT132" s="10"/>
      <c r="BU132" s="10"/>
      <c r="BV132" s="10"/>
      <c r="BW132" s="10"/>
      <c r="BX132" s="10"/>
      <c r="BY132" s="10"/>
      <c r="BZ132" s="10" t="str">
        <f t="shared" si="174"/>
        <v/>
      </c>
      <c r="CA132" s="107"/>
      <c r="CB132" s="104">
        <f t="shared" si="175"/>
        <v>1</v>
      </c>
      <c r="CC132" s="106"/>
      <c r="CD132" s="105"/>
      <c r="CE132" s="105"/>
      <c r="CF132" s="105"/>
      <c r="CG132" s="105"/>
      <c r="CH132" s="105"/>
      <c r="CI132" s="105"/>
      <c r="CJ132" s="105">
        <f t="shared" si="176"/>
        <v>0</v>
      </c>
      <c r="CK132" s="107"/>
      <c r="CY132" s="109" t="str">
        <f t="shared" si="180"/>
        <v>1.</v>
      </c>
      <c r="CZ132" s="110" t="str">
        <f t="shared" si="181"/>
        <v/>
      </c>
      <c r="DA132" s="110"/>
      <c r="DB132" s="44" t="str">
        <f t="shared" si="182"/>
        <v/>
      </c>
      <c r="DC132" s="27" t="s">
        <v>207</v>
      </c>
      <c r="DE132" s="44">
        <f t="shared" si="183"/>
        <v>0</v>
      </c>
      <c r="DF132" s="44">
        <f>IF(($AJ$132+$AL$132)&gt;0,7,0)</f>
        <v>0</v>
      </c>
      <c r="DG132" s="44">
        <f>IF(($AJ$132+$AL$132)&gt;0,7,0)</f>
        <v>0</v>
      </c>
      <c r="DH132" s="44">
        <f>IF(($AJ$132+$AL$132)&gt;0,7,0)</f>
        <v>0</v>
      </c>
      <c r="DI132" s="44">
        <f>IF(($AJ$132+$AL$132)&gt;0,7,0)</f>
        <v>0</v>
      </c>
    </row>
    <row r="133" spans="1:113" ht="11.25" customHeight="1" x14ac:dyDescent="0.5">
      <c r="AK133" s="118"/>
      <c r="AN133" s="119"/>
      <c r="AP133" s="119">
        <f>COUNTIF(AP126:AP132,"&gt;0")</f>
        <v>0</v>
      </c>
      <c r="AU133" s="10">
        <f>COUNTIF(AU126:AU132,"&gt;0")</f>
        <v>0</v>
      </c>
      <c r="AY133" s="10"/>
      <c r="BR133" s="9">
        <f>SUM(BR126:BR132)</f>
        <v>0</v>
      </c>
      <c r="BS133" s="10">
        <f>COUNTIF(BS126:BS132,TRUE)</f>
        <v>7</v>
      </c>
      <c r="BT133" s="9">
        <f>BR133*BS133</f>
        <v>0</v>
      </c>
      <c r="BZ133" s="10">
        <f>COUNTIF(BZ126:BZ132,1)</f>
        <v>0</v>
      </c>
      <c r="CE133" s="10"/>
      <c r="CK133" s="120">
        <f>SUM(AH126:AH132)</f>
        <v>0</v>
      </c>
    </row>
    <row r="134" spans="1:113" x14ac:dyDescent="0.5">
      <c r="H134" s="121"/>
      <c r="DE134">
        <f>IF(CZ129="",0,6)</f>
        <v>0</v>
      </c>
    </row>
    <row r="135" spans="1:113" ht="15" customHeight="1" x14ac:dyDescent="0.5"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74"/>
    </row>
    <row r="136" spans="1:113" ht="165" customHeight="1" x14ac:dyDescent="0.9">
      <c r="H136" s="356" t="s">
        <v>221</v>
      </c>
      <c r="I136" s="357"/>
      <c r="J136" s="360" t="str">
        <f>H137</f>
        <v/>
      </c>
      <c r="K136" s="345"/>
      <c r="L136" s="346"/>
      <c r="M136" s="360" t="str">
        <f>H138</f>
        <v/>
      </c>
      <c r="N136" s="345"/>
      <c r="O136" s="346"/>
      <c r="P136" s="360" t="str">
        <f>H139</f>
        <v/>
      </c>
      <c r="Q136" s="345"/>
      <c r="R136" s="346"/>
      <c r="S136" s="360" t="str">
        <f>H140</f>
        <v/>
      </c>
      <c r="T136" s="345"/>
      <c r="U136" s="346"/>
      <c r="V136" s="360" t="str">
        <f>H141</f>
        <v/>
      </c>
      <c r="W136" s="345"/>
      <c r="X136" s="346"/>
      <c r="Y136" s="360" t="str">
        <f>H142</f>
        <v/>
      </c>
      <c r="Z136" s="345"/>
      <c r="AA136" s="346"/>
      <c r="AB136" s="360" t="str">
        <f>H143</f>
        <v/>
      </c>
      <c r="AC136" s="345"/>
      <c r="AD136" s="346"/>
      <c r="AE136" s="347" t="s">
        <v>175</v>
      </c>
      <c r="AF136" s="348"/>
      <c r="AG136" s="349"/>
      <c r="AH136" s="347" t="s">
        <v>176</v>
      </c>
      <c r="AI136" s="349"/>
      <c r="AJ136" s="350" t="s">
        <v>177</v>
      </c>
      <c r="AK136" s="350"/>
      <c r="AL136" s="350"/>
      <c r="AM136" s="75" t="s">
        <v>178</v>
      </c>
      <c r="AN136" s="76" t="s">
        <v>179</v>
      </c>
      <c r="AO136" s="76" t="s">
        <v>180</v>
      </c>
      <c r="AP136" s="77" t="s">
        <v>181</v>
      </c>
      <c r="AQ136" s="78"/>
      <c r="AR136" s="78" t="s">
        <v>182</v>
      </c>
      <c r="AS136" s="79"/>
      <c r="AT136" s="80"/>
      <c r="AU136" s="80"/>
      <c r="AV136" s="81" t="s">
        <v>183</v>
      </c>
      <c r="AW136" s="82">
        <v>1</v>
      </c>
      <c r="AX136" s="82">
        <v>2</v>
      </c>
      <c r="AY136" s="82">
        <v>3</v>
      </c>
      <c r="AZ136" s="81" t="s">
        <v>4</v>
      </c>
      <c r="BA136" s="81" t="s">
        <v>5</v>
      </c>
      <c r="BB136" s="81" t="s">
        <v>6</v>
      </c>
      <c r="BC136" s="81" t="s">
        <v>7</v>
      </c>
      <c r="BD136" s="81" t="s">
        <v>184</v>
      </c>
      <c r="BG136" s="81" t="s">
        <v>178</v>
      </c>
      <c r="BH136" s="82">
        <v>1</v>
      </c>
      <c r="BI136" s="82">
        <v>2</v>
      </c>
      <c r="BJ136" s="82">
        <v>3</v>
      </c>
      <c r="BK136" s="81" t="s">
        <v>4</v>
      </c>
      <c r="BL136" s="81" t="s">
        <v>5</v>
      </c>
      <c r="BM136" s="81" t="s">
        <v>6</v>
      </c>
      <c r="BN136" s="81" t="s">
        <v>7</v>
      </c>
      <c r="BO136" s="81" t="s">
        <v>185</v>
      </c>
      <c r="BQ136" s="81" t="s">
        <v>186</v>
      </c>
      <c r="BR136" s="81" t="s">
        <v>187</v>
      </c>
      <c r="BS136" s="81" t="s">
        <v>188</v>
      </c>
      <c r="BT136" s="81" t="s">
        <v>189</v>
      </c>
      <c r="BU136" s="81" t="s">
        <v>190</v>
      </c>
      <c r="BV136" s="81" t="s">
        <v>191</v>
      </c>
      <c r="BW136" s="81" t="s">
        <v>192</v>
      </c>
      <c r="BX136" s="81" t="s">
        <v>193</v>
      </c>
      <c r="BY136" s="81"/>
      <c r="BZ136" s="81" t="s">
        <v>194</v>
      </c>
      <c r="CA136" s="83"/>
      <c r="CB136" s="81" t="s">
        <v>195</v>
      </c>
      <c r="CC136" s="82">
        <v>1</v>
      </c>
      <c r="CD136" s="82">
        <v>2</v>
      </c>
      <c r="CE136" s="82">
        <v>3</v>
      </c>
      <c r="CF136" s="81" t="s">
        <v>4</v>
      </c>
      <c r="CG136" s="81" t="s">
        <v>5</v>
      </c>
      <c r="CH136" s="81" t="s">
        <v>6</v>
      </c>
      <c r="CI136" s="81" t="s">
        <v>7</v>
      </c>
      <c r="CJ136" s="81" t="s">
        <v>184</v>
      </c>
      <c r="CK136" s="83" t="s">
        <v>196</v>
      </c>
      <c r="CY136" s="11" t="s">
        <v>178</v>
      </c>
      <c r="CZ136" s="11" t="s">
        <v>14</v>
      </c>
      <c r="DB136" s="1" t="s">
        <v>14</v>
      </c>
      <c r="DC136" s="1" t="s">
        <v>178</v>
      </c>
    </row>
    <row r="137" spans="1:113" ht="30" customHeight="1" x14ac:dyDescent="0.55000000000000004">
      <c r="B137" s="84">
        <f>CX46</f>
        <v>0</v>
      </c>
      <c r="D137" s="85" t="str">
        <f>IF(B137=3,$DA$4,IF(B137=4,$DB$4,IF(B137=5,$DC$4,IF(B137=6,$DD$4,IF(B137=7,$DE$4,"")))))</f>
        <v/>
      </c>
      <c r="E137" s="85" t="str">
        <f>IF(B137=3,$DA$5,IF(B137=4,$DB$5,IF(B137=5,$DC$5,IF(B137=6,$DD$5,IF(B137=7,$DE$5,"")))))</f>
        <v/>
      </c>
      <c r="F137" s="85" t="str">
        <f>IF(B137=3,$DA$6,IF(B137=4,$DB$6,IF(B137=5,$DC$6,IF(B137=6,$DD$6,IF(B137=7,$DE$6,"")))))</f>
        <v/>
      </c>
      <c r="G137" s="86" t="s">
        <v>21</v>
      </c>
      <c r="H137" s="358" t="str">
        <f>IF(AND(I38=8,CX46&gt;0,I48="ANO"),CS12,"")</f>
        <v/>
      </c>
      <c r="I137" s="358"/>
      <c r="J137" s="87"/>
      <c r="K137" s="88"/>
      <c r="L137" s="89"/>
      <c r="M137" s="90"/>
      <c r="N137" s="91" t="str">
        <f>IF(AND(M137="",O137=""),"",":")</f>
        <v/>
      </c>
      <c r="O137" s="92"/>
      <c r="P137" s="90"/>
      <c r="Q137" s="91" t="str">
        <f t="shared" ref="Q137:Q143" si="184">IF(AND(P137="",R137=""),"",":")</f>
        <v/>
      </c>
      <c r="R137" s="92"/>
      <c r="S137" s="90"/>
      <c r="T137" s="91" t="str">
        <f>IF(AND(S137="",U137=""),"",":")</f>
        <v/>
      </c>
      <c r="U137" s="92"/>
      <c r="V137" s="90"/>
      <c r="W137" s="91" t="str">
        <f>IF(AND(V137="",X137=""),"",":")</f>
        <v/>
      </c>
      <c r="X137" s="92"/>
      <c r="Y137" s="90"/>
      <c r="Z137" s="91" t="str">
        <f>IF(AND(Y137="",AA137=""),"",":")</f>
        <v/>
      </c>
      <c r="AA137" s="92"/>
      <c r="AB137" s="90"/>
      <c r="AC137" s="91" t="str">
        <f t="shared" ref="AC137:AC142" si="185">IF(AND(AB137="",AD137=""),"",":")</f>
        <v/>
      </c>
      <c r="AD137" s="92"/>
      <c r="AE137" s="353">
        <v>180</v>
      </c>
      <c r="AF137" s="354"/>
      <c r="AG137" s="355"/>
      <c r="AH137" s="93">
        <f>IF(M137&gt;O137,1)+IF(P137&gt;R137,1)+IF(S137&gt;U137,1)+IF(V137&gt;X137,1)+IF(Y137&gt;AA137,1)+IF(AB137&gt;AD137,1)</f>
        <v>0</v>
      </c>
      <c r="AI137" s="94" t="s">
        <v>197</v>
      </c>
      <c r="AJ137" s="95">
        <f>M137+P137+S137+V137+Y137+AB137</f>
        <v>0</v>
      </c>
      <c r="AK137" s="96" t="str">
        <f>IF(AND(AJ137="",AL137=""),"",":")</f>
        <v>:</v>
      </c>
      <c r="AL137" s="97">
        <f>O137+R137+U137+X137+AA137+AD137</f>
        <v>0</v>
      </c>
      <c r="AM137" s="98" t="str">
        <f t="shared" ref="AM137:AM143" si="186">COUNTIF($AH$137:$AH$143,"&gt;"&amp;AH137)+COUNTIFS($AH$137:$AH$143,AH137,$AN$137:$AN$143,"&gt;"&amp;AN137)+COUNTIFS($AH$137:$AH$143,AH137,$AN$137:$AN$143,AN137,$BD$137:$BD$143,"&gt;"&amp;BD137)+COUNTIFS($AH$137:$AH$143,AH137,$AN$137:$AN$143,AN137,$BD$137:$BD$143,BD137,$BO$137:$BO$143,"&lt;"&amp;BO137)+COUNTIFS($AH$137:$AH$143,AH137,$AN$137:$AN$143,AN137,$BD$137:$BD$143,BD137,$BO$137:$BO$143,BO137,$AP$137:$AP$143,"&lt;"&amp;AP137)+1 &amp;"."</f>
        <v>1.</v>
      </c>
      <c r="AN137" s="99" t="str">
        <f t="shared" ref="AN137:AN143" si="187">IF(AW137&gt;BH137,1,)+IF(AX137&gt;BI137,1)+IF(AY137&gt;BJ137,1)+IF(AZ137&gt;BK137,1)+IF(BA137&gt;BL137,1)+IF(BB137&gt;BM137,1)+IF(BC137&gt;BN137,1,)&amp;" b"</f>
        <v>0 b</v>
      </c>
      <c r="AO137" s="100" t="str">
        <f t="shared" ref="AO137:AO143" si="188">CONCATENATE("("&amp;(BD137),":",(BO137)&amp;")")</f>
        <v>(0:0)</v>
      </c>
      <c r="AP137" s="101" t="str">
        <f t="shared" ref="AP137:AP143" si="189">IF(AND(BS137=TRUE,BR137&lt;&gt;0),"?","")</f>
        <v/>
      </c>
      <c r="AQ137" s="102"/>
      <c r="AR137" s="103" t="str">
        <f t="shared" ref="AR137:AR143" si="190">RANK(AH137,$AH$137:$AH$143,0)&amp;"."</f>
        <v>1.</v>
      </c>
      <c r="AS137" s="102"/>
      <c r="AT137" s="104"/>
      <c r="AU137" s="104">
        <f t="shared" ref="AU137:AU143" si="191">IF(AW137&gt;BH137,1,)+IF(AX137&gt;BI137,1)+IF(AY137&gt;BJ137,1)+IF(AZ137&gt;BK137,1)+IF(BA137&gt;BL137,1)+IF(BB137&gt;BM137,1)+IF(BC137&gt;BN137,1,)</f>
        <v>0</v>
      </c>
      <c r="AV137" s="104">
        <f t="shared" ref="AV137:AV143" si="192">RANK(AH137,$AH$137:$AH$143,0)</f>
        <v>1</v>
      </c>
      <c r="AW137" s="105"/>
      <c r="AX137" s="106">
        <f>IF(AV137=AV138,M137,"")</f>
        <v>0</v>
      </c>
      <c r="AY137" s="105">
        <f>IF(AV137=AV139,P137,"")</f>
        <v>0</v>
      </c>
      <c r="AZ137" s="105">
        <f>IF(AV137=AV140,S137,"")</f>
        <v>0</v>
      </c>
      <c r="BA137" s="105">
        <f>IF(AV137=AV141,V137,"")</f>
        <v>0</v>
      </c>
      <c r="BB137" s="105">
        <f>IF(AV137=AV142,Y137,"")</f>
        <v>0</v>
      </c>
      <c r="BC137" s="105">
        <f>IF(AV137=AV143,AB137,"")</f>
        <v>0</v>
      </c>
      <c r="BD137" s="105">
        <f t="shared" ref="BD137:BD143" si="193">SUM(AW137:BC137)</f>
        <v>0</v>
      </c>
      <c r="BE137" s="105">
        <f t="shared" ref="BE137:BE143" si="194">IF(BD137=0,0,"1")</f>
        <v>0</v>
      </c>
      <c r="BF137" s="105"/>
      <c r="BG137" s="104">
        <f t="shared" ref="BG137:BG143" si="195">RANK(AH137,$AH$137:$AH$143,0)</f>
        <v>1</v>
      </c>
      <c r="BH137" s="105"/>
      <c r="BI137" s="105">
        <f>IF(AV137=AV138,O137,"")</f>
        <v>0</v>
      </c>
      <c r="BJ137" s="105">
        <f>IF(AV137=AV139,R137,"")</f>
        <v>0</v>
      </c>
      <c r="BK137" s="105">
        <f>IF(AV137=AV140,U137,"")</f>
        <v>0</v>
      </c>
      <c r="BL137" s="105">
        <f>IF(AV137=AV141,X137,"")</f>
        <v>0</v>
      </c>
      <c r="BM137" s="105">
        <f>IF(AV137=AV142,AA137,"")</f>
        <v>0</v>
      </c>
      <c r="BN137" s="105">
        <f>IF(AV137=AV143,AD137,"")</f>
        <v>0</v>
      </c>
      <c r="BO137" s="105">
        <f t="shared" ref="BO137:BO143" si="196">SUM(BH137:BN137)</f>
        <v>0</v>
      </c>
      <c r="BQ137" s="10" t="b">
        <f t="shared" ref="BQ137:BQ143" si="197">IF(COUNTIF($AH$137:$AH$143,1)=1,1,IF(COUNTIF($AH$137:$AH$143,2)=2,2,IF(COUNTIF($AH$137:$AH$143,3)=3,3,IF(COUNTIF($AH$137:$AH$143,4)=4,4,IF(COUNTIF($AH$137:$AH$143,5)=5,5)))))</f>
        <v>0</v>
      </c>
      <c r="BR137" s="10">
        <f>AH137*(BD137*100+AH137+BO137*3.14+AU137*22)*10</f>
        <v>0</v>
      </c>
      <c r="BS137" s="10" t="b">
        <f t="shared" ref="BS137:BS143" si="198">COUNTIF($BR$137:$BR$143,BR137)&gt;1</f>
        <v>1</v>
      </c>
      <c r="BT137" s="10">
        <f>COUNTIF($AH$137:$AH$143,1)</f>
        <v>0</v>
      </c>
      <c r="BU137" s="10">
        <f>COUNTIF($AH$137:$AH$143,2)</f>
        <v>0</v>
      </c>
      <c r="BV137" s="10">
        <f>COUNTIF($AH$137:$AH$143,3)</f>
        <v>0</v>
      </c>
      <c r="BW137" s="10">
        <f>COUNTIF($AH$137:$AH$143,4)</f>
        <v>0</v>
      </c>
      <c r="BX137" s="10">
        <f>COUNTIF($AH$137:$AH$143,5)</f>
        <v>0</v>
      </c>
      <c r="BY137" s="10"/>
      <c r="BZ137" s="10" t="str">
        <f t="shared" ref="BZ137:BZ143" si="199">IF(AND(BS137=TRUE,BR137&lt;&gt;0),"1","")</f>
        <v/>
      </c>
      <c r="CA137" s="107"/>
      <c r="CB137" s="104">
        <f t="shared" ref="CB137:CB143" si="200">RANK(AH137,$AH$137:$AH$143,0)</f>
        <v>1</v>
      </c>
      <c r="CC137" s="105"/>
      <c r="CD137" s="106">
        <f>IF(CB137=CB138,1,"")</f>
        <v>1</v>
      </c>
      <c r="CE137" s="106">
        <f>IF(CB137=CB139,1,"")</f>
        <v>1</v>
      </c>
      <c r="CF137" s="106">
        <f>IF(CB137=CB140,1,"")</f>
        <v>1</v>
      </c>
      <c r="CG137" s="106">
        <f>IF(CB137=CB141,1,"")</f>
        <v>1</v>
      </c>
      <c r="CH137" s="106">
        <f>IF(CB137=CB142,1,"")</f>
        <v>1</v>
      </c>
      <c r="CI137" s="106">
        <f>IF(CB137=CB143,1,"")</f>
        <v>1</v>
      </c>
      <c r="CJ137" s="105">
        <f t="shared" ref="CJ137:CJ143" si="201">SUM(CC137:CI137)</f>
        <v>6</v>
      </c>
      <c r="CK137" s="107"/>
      <c r="CX137" s="11" t="s">
        <v>222</v>
      </c>
      <c r="CY137" s="109" t="str">
        <f>AM137</f>
        <v>1.</v>
      </c>
      <c r="CZ137" s="110" t="str">
        <f>H137</f>
        <v/>
      </c>
      <c r="DA137" s="110"/>
      <c r="DB137" s="44" t="str">
        <f>IF(DE137&gt;0,VLOOKUP(DC137,$CY$137:$CZ$143,2,0),"")</f>
        <v/>
      </c>
      <c r="DC137" s="27" t="s">
        <v>199</v>
      </c>
      <c r="DE137" s="44">
        <f>IF(CZ137="",0,8)</f>
        <v>0</v>
      </c>
    </row>
    <row r="138" spans="1:113" ht="30" customHeight="1" x14ac:dyDescent="0.55000000000000004">
      <c r="D138" s="85" t="str">
        <f>IF(B137=4,$DB$7,IF(B137=5,$DC$7,IF(B137=6,$DD$7,IF(B137=7,$DE$7,""))))</f>
        <v/>
      </c>
      <c r="E138" s="85" t="str">
        <f>IF(B137=4,$DB$8,IF(B137=5,$DC$8,IF(B137=6,$DD$8,IF(B137=7,$DE$8,""))))</f>
        <v/>
      </c>
      <c r="F138" s="85" t="str">
        <f>IF(B137=4,$DB$9,IF(B137=5,$DC$9,IF(B137=6,$DD$9,IF(B137=7,$DE$9,""))))</f>
        <v/>
      </c>
      <c r="G138" s="86" t="s">
        <v>29</v>
      </c>
      <c r="H138" s="358" t="str">
        <f>IF(AND(I36&lt;&gt;16,I38=8,CX46&gt;0,I48="ANO"),CS20,IF(AND(I36=16,I38=8,CX46&gt;0,I48="ANO"),CS13,""))</f>
        <v/>
      </c>
      <c r="I138" s="358"/>
      <c r="J138" s="111" t="str">
        <f>IF(O137="","",O137)</f>
        <v/>
      </c>
      <c r="K138" s="91" t="str">
        <f t="shared" ref="K138:K143" si="202">IF(AND(J138="",L138=""),"",":")</f>
        <v/>
      </c>
      <c r="L138" s="112" t="str">
        <f>IF(M137="","",M137)</f>
        <v/>
      </c>
      <c r="M138" s="87"/>
      <c r="N138" s="88"/>
      <c r="O138" s="89"/>
      <c r="P138" s="90"/>
      <c r="Q138" s="91" t="str">
        <f t="shared" si="184"/>
        <v/>
      </c>
      <c r="R138" s="92"/>
      <c r="S138" s="90"/>
      <c r="T138" s="91" t="str">
        <f>IF(AND(S138="",U138=""),"",":")</f>
        <v/>
      </c>
      <c r="U138" s="92"/>
      <c r="V138" s="90"/>
      <c r="W138" s="91" t="str">
        <f>IF(AND(V138="",X138=""),"",":")</f>
        <v/>
      </c>
      <c r="X138" s="92"/>
      <c r="Y138" s="90"/>
      <c r="Z138" s="91" t="str">
        <f>IF(AND(Y138="",AA138=""),"",":")</f>
        <v/>
      </c>
      <c r="AA138" s="92"/>
      <c r="AB138" s="90"/>
      <c r="AC138" s="91" t="str">
        <f t="shared" si="185"/>
        <v/>
      </c>
      <c r="AD138" s="92"/>
      <c r="AE138" s="359" t="s">
        <v>284</v>
      </c>
      <c r="AF138" s="354"/>
      <c r="AG138" s="355"/>
      <c r="AH138" s="93">
        <f>IF(M137&lt;O137,1)+IF(P138&gt;R138,1)+IF(S138&gt;U138,1)+IF(V138&gt;X138,1)+IF(Y138&gt;AA138,1)+IF(AB138&gt;AD138,1)</f>
        <v>0</v>
      </c>
      <c r="AI138" s="94" t="s">
        <v>197</v>
      </c>
      <c r="AJ138" s="95">
        <f>O137+P138+S138+V138+Y138+AB138</f>
        <v>0</v>
      </c>
      <c r="AK138" s="96" t="str">
        <f t="shared" ref="AK138:AK143" si="203">IF(AND(AJ138="",AL138=""),"",":")</f>
        <v>:</v>
      </c>
      <c r="AL138" s="97">
        <f>M137+R138+U138+X138+AA138+AD138</f>
        <v>0</v>
      </c>
      <c r="AM138" s="98" t="str">
        <f t="shared" si="186"/>
        <v>1.</v>
      </c>
      <c r="AN138" s="99" t="str">
        <f t="shared" si="187"/>
        <v>0 b</v>
      </c>
      <c r="AO138" s="100" t="str">
        <f t="shared" si="188"/>
        <v>(0:0)</v>
      </c>
      <c r="AP138" s="101" t="str">
        <f t="shared" si="189"/>
        <v/>
      </c>
      <c r="AQ138" s="102"/>
      <c r="AR138" s="103" t="str">
        <f t="shared" si="190"/>
        <v>1.</v>
      </c>
      <c r="AS138" s="102"/>
      <c r="AT138" s="104"/>
      <c r="AU138" s="104">
        <f t="shared" si="191"/>
        <v>0</v>
      </c>
      <c r="AV138" s="104">
        <f t="shared" si="192"/>
        <v>1</v>
      </c>
      <c r="AW138" s="106">
        <f>IF(AV137=AV138,O137,"")</f>
        <v>0</v>
      </c>
      <c r="AX138" s="105"/>
      <c r="AY138" s="105">
        <f>IF(AV138=AV139,P138,"")</f>
        <v>0</v>
      </c>
      <c r="AZ138" s="105">
        <f>IF(AV138=AV140,S138,"")</f>
        <v>0</v>
      </c>
      <c r="BA138" s="105">
        <f>IF(AV138=AV141,V138,"")</f>
        <v>0</v>
      </c>
      <c r="BB138" s="105">
        <f>IF(AV138=AV142,Y138,"")</f>
        <v>0</v>
      </c>
      <c r="BC138" s="105">
        <f>IF(AV138=AV143,AB138,"")</f>
        <v>0</v>
      </c>
      <c r="BD138" s="105">
        <f t="shared" si="193"/>
        <v>0</v>
      </c>
      <c r="BE138" s="105">
        <f t="shared" si="194"/>
        <v>0</v>
      </c>
      <c r="BF138" s="105"/>
      <c r="BG138" s="104">
        <f t="shared" si="195"/>
        <v>1</v>
      </c>
      <c r="BH138" s="105">
        <f>IF(AV137=AV138,M137,"")</f>
        <v>0</v>
      </c>
      <c r="BI138" s="105"/>
      <c r="BJ138" s="105">
        <f>IF(AV138=AV139,R138,"")</f>
        <v>0</v>
      </c>
      <c r="BK138" s="105">
        <f>IF(AV138=AV140,U138,"")</f>
        <v>0</v>
      </c>
      <c r="BL138" s="105">
        <f>IF(AV138=AV141,X138,"")</f>
        <v>0</v>
      </c>
      <c r="BM138" s="105">
        <f>IF(AV138=AV142,AA138,"")</f>
        <v>0</v>
      </c>
      <c r="BN138" s="105">
        <f>IF(AV138=AV143,AD138,"")</f>
        <v>0</v>
      </c>
      <c r="BO138" s="105">
        <f t="shared" si="196"/>
        <v>0</v>
      </c>
      <c r="BQ138" s="10" t="b">
        <f t="shared" si="197"/>
        <v>0</v>
      </c>
      <c r="BR138" s="10">
        <f t="shared" ref="BR138:BR143" si="204">AH138*(BD138*100+AH138+BO138*3.14+AU138*22)*10</f>
        <v>0</v>
      </c>
      <c r="BS138" s="10" t="b">
        <f t="shared" si="198"/>
        <v>1</v>
      </c>
      <c r="BT138" s="10">
        <f>IF(BT137&gt;=2,1,0)</f>
        <v>0</v>
      </c>
      <c r="BU138" s="10">
        <f>IF(BU137&gt;=2,1,0)</f>
        <v>0</v>
      </c>
      <c r="BV138" s="10">
        <f>IF(BV137&gt;=2,1,0)</f>
        <v>0</v>
      </c>
      <c r="BW138" s="10">
        <f>IF(BW137&gt;=2,1,0)</f>
        <v>0</v>
      </c>
      <c r="BX138" s="10">
        <f>IF(BX137&gt;=2,1,0)</f>
        <v>0</v>
      </c>
      <c r="BY138" s="10"/>
      <c r="BZ138" s="10" t="str">
        <f t="shared" si="199"/>
        <v/>
      </c>
      <c r="CA138" s="107"/>
      <c r="CB138" s="104">
        <f t="shared" si="200"/>
        <v>1</v>
      </c>
      <c r="CC138" s="106"/>
      <c r="CD138" s="105"/>
      <c r="CE138" s="106">
        <f>IF(CB138=CB139,1,"")</f>
        <v>1</v>
      </c>
      <c r="CF138" s="106">
        <f>IF(CB138=CB140,1,"")</f>
        <v>1</v>
      </c>
      <c r="CG138" s="106">
        <f>IF(CB138=CB141,1,"")</f>
        <v>1</v>
      </c>
      <c r="CH138" s="106">
        <f>IF(CB138=CB142,1,"")</f>
        <v>1</v>
      </c>
      <c r="CI138" s="106">
        <f>IF(CB138=CB143,1,"")</f>
        <v>1</v>
      </c>
      <c r="CJ138" s="105">
        <f t="shared" si="201"/>
        <v>5</v>
      </c>
      <c r="CK138" s="107"/>
      <c r="CY138" s="109" t="str">
        <f t="shared" ref="CY138:CY143" si="205">AM138</f>
        <v>1.</v>
      </c>
      <c r="CZ138" s="110" t="str">
        <f t="shared" ref="CZ138:CZ143" si="206">H138</f>
        <v/>
      </c>
      <c r="DA138" s="110"/>
      <c r="DB138" s="44" t="str">
        <f t="shared" ref="DB138:DB143" si="207">IF(DE138&gt;0,VLOOKUP(DC138,$CY$137:$CZ$143,2,0),"")</f>
        <v/>
      </c>
      <c r="DC138" s="27" t="s">
        <v>202</v>
      </c>
      <c r="DE138" s="44">
        <f t="shared" ref="DE138:DE143" si="208">IF(CZ138="",0,8)</f>
        <v>0</v>
      </c>
      <c r="DF138" s="1" t="s">
        <v>220</v>
      </c>
    </row>
    <row r="139" spans="1:113" ht="30" customHeight="1" x14ac:dyDescent="0.55000000000000004">
      <c r="D139" s="85" t="str">
        <f>IF(B137=5,$DC$10,IF(B137=6,$DD$10,IF(B137=7,$DE$10,"")))</f>
        <v/>
      </c>
      <c r="E139" s="85" t="str">
        <f>IF(B137=5,$DC$11,IF(B137=6,$DD$11,IF(B137=7,$DE$11,"")))</f>
        <v/>
      </c>
      <c r="F139" s="85" t="str">
        <f>IF(B137=5,$DC$12,IF(B137=6,$DD$12,IF(B137=7,$DE$12,"")))</f>
        <v/>
      </c>
      <c r="G139" s="86" t="s">
        <v>36</v>
      </c>
      <c r="H139" s="358" t="str">
        <f>IF(AND(I38=8,CX46&gt;0,I48="ANO"),CS28,"")</f>
        <v/>
      </c>
      <c r="I139" s="358"/>
      <c r="J139" s="111" t="str">
        <f>IF(R137="","",R137)</f>
        <v/>
      </c>
      <c r="K139" s="91" t="str">
        <f t="shared" si="202"/>
        <v/>
      </c>
      <c r="L139" s="112" t="str">
        <f>IF(P137="","",P137)</f>
        <v/>
      </c>
      <c r="M139" s="111" t="str">
        <f>IF(R138="","",R138)</f>
        <v/>
      </c>
      <c r="N139" s="91" t="str">
        <f>IF(AND(M139="",O139=""),"",":")</f>
        <v/>
      </c>
      <c r="O139" s="112" t="str">
        <f>IF(P138="","",P138)</f>
        <v/>
      </c>
      <c r="P139" s="87"/>
      <c r="Q139" s="88"/>
      <c r="R139" s="89"/>
      <c r="S139" s="90"/>
      <c r="T139" s="91" t="str">
        <f>IF(AND(S139="",U139=""),"",":")</f>
        <v/>
      </c>
      <c r="U139" s="92"/>
      <c r="V139" s="90"/>
      <c r="W139" s="91" t="str">
        <f>IF(AND(V139="",X139=""),"",":")</f>
        <v/>
      </c>
      <c r="X139" s="92"/>
      <c r="Y139" s="90"/>
      <c r="Z139" s="91" t="str">
        <f>IF(AND(Y139="",AA139=""),"",":")</f>
        <v/>
      </c>
      <c r="AA139" s="92"/>
      <c r="AB139" s="90"/>
      <c r="AC139" s="91" t="str">
        <f t="shared" si="185"/>
        <v/>
      </c>
      <c r="AD139" s="92"/>
      <c r="AE139" s="359" t="s">
        <v>285</v>
      </c>
      <c r="AF139" s="354"/>
      <c r="AG139" s="355"/>
      <c r="AH139" s="93">
        <f>IF(R137&gt;P137,1)+IF(R138&gt;P138,1)+IF(S139&gt;U139,1)+IF(V139&gt;X139,1)+IF(Y139&gt;AA139,1)+IF(AB139&gt;AD139,1)</f>
        <v>0</v>
      </c>
      <c r="AI139" s="94" t="s">
        <v>197</v>
      </c>
      <c r="AJ139" s="95">
        <f>R137+R138+S139+V139+Y139+AB139</f>
        <v>0</v>
      </c>
      <c r="AK139" s="96" t="str">
        <f t="shared" si="203"/>
        <v>:</v>
      </c>
      <c r="AL139" s="97">
        <f>P137+P138+U139+X139+AA139+AD139</f>
        <v>0</v>
      </c>
      <c r="AM139" s="98" t="str">
        <f t="shared" si="186"/>
        <v>1.</v>
      </c>
      <c r="AN139" s="99" t="str">
        <f t="shared" si="187"/>
        <v>0 b</v>
      </c>
      <c r="AO139" s="100" t="str">
        <f t="shared" si="188"/>
        <v>(0:0)</v>
      </c>
      <c r="AP139" s="101" t="str">
        <f t="shared" si="189"/>
        <v/>
      </c>
      <c r="AQ139" s="102"/>
      <c r="AR139" s="103" t="str">
        <f t="shared" si="190"/>
        <v>1.</v>
      </c>
      <c r="AS139" s="102"/>
      <c r="AT139" s="104"/>
      <c r="AU139" s="104">
        <f t="shared" si="191"/>
        <v>0</v>
      </c>
      <c r="AV139" s="104">
        <f t="shared" si="192"/>
        <v>1</v>
      </c>
      <c r="AW139" s="106">
        <f>IF(AV137=AV139,R137,"")</f>
        <v>0</v>
      </c>
      <c r="AX139" s="105">
        <f>IF(AV138=AV139,R138,"")</f>
        <v>0</v>
      </c>
      <c r="AY139" s="105"/>
      <c r="AZ139" s="105">
        <f>IF(AV139=AV140,S139,"")</f>
        <v>0</v>
      </c>
      <c r="BA139" s="105">
        <f>IF(AV139=AV141,V139,"")</f>
        <v>0</v>
      </c>
      <c r="BB139" s="105">
        <f>IF(AV139=AV142,Y139,"")</f>
        <v>0</v>
      </c>
      <c r="BC139" s="105">
        <f>IF(AV139=AV143,AB139,"")</f>
        <v>0</v>
      </c>
      <c r="BD139" s="105">
        <f t="shared" si="193"/>
        <v>0</v>
      </c>
      <c r="BE139" s="105">
        <f t="shared" si="194"/>
        <v>0</v>
      </c>
      <c r="BF139" s="105"/>
      <c r="BG139" s="104">
        <f t="shared" si="195"/>
        <v>1</v>
      </c>
      <c r="BH139" s="105">
        <f>IF(AV137=AV139,P137,"")</f>
        <v>0</v>
      </c>
      <c r="BI139" s="105">
        <f>IF(AV138=AV139,P138,"")</f>
        <v>0</v>
      </c>
      <c r="BJ139" s="105"/>
      <c r="BK139" s="105">
        <f>IF(AV139=AV140,U139,"")</f>
        <v>0</v>
      </c>
      <c r="BL139" s="105">
        <f>IF(AV139=AV141,X139,"")</f>
        <v>0</v>
      </c>
      <c r="BM139" s="105">
        <f>IF(AV139=AV142,AA139,"")</f>
        <v>0</v>
      </c>
      <c r="BN139" s="105">
        <f>IF(AV139=AV143,AD139,"")</f>
        <v>0</v>
      </c>
      <c r="BO139" s="105">
        <f t="shared" si="196"/>
        <v>0</v>
      </c>
      <c r="BQ139" s="10" t="b">
        <f t="shared" si="197"/>
        <v>0</v>
      </c>
      <c r="BR139" s="10">
        <f t="shared" si="204"/>
        <v>0</v>
      </c>
      <c r="BS139" s="10" t="b">
        <f t="shared" si="198"/>
        <v>1</v>
      </c>
      <c r="BT139" s="10">
        <v>1</v>
      </c>
      <c r="BU139" s="10">
        <v>2</v>
      </c>
      <c r="BV139" s="10">
        <v>3</v>
      </c>
      <c r="BW139" s="10">
        <v>4</v>
      </c>
      <c r="BX139" s="10">
        <v>5</v>
      </c>
      <c r="BY139" s="10"/>
      <c r="BZ139" s="10" t="str">
        <f t="shared" si="199"/>
        <v/>
      </c>
      <c r="CA139" s="107"/>
      <c r="CB139" s="104">
        <f t="shared" si="200"/>
        <v>1</v>
      </c>
      <c r="CC139" s="106"/>
      <c r="CD139" s="105"/>
      <c r="CE139" s="105"/>
      <c r="CF139" s="106">
        <f>IF(CB139=CB140,1,"")</f>
        <v>1</v>
      </c>
      <c r="CG139" s="106">
        <f>IF(CB139=CB141,1,"")</f>
        <v>1</v>
      </c>
      <c r="CH139" s="106">
        <f>IF(CB139=CB142,1,"")</f>
        <v>1</v>
      </c>
      <c r="CI139" s="106">
        <f>IF(CB139=CB143,1,"")</f>
        <v>1</v>
      </c>
      <c r="CJ139" s="105">
        <f t="shared" si="201"/>
        <v>4</v>
      </c>
      <c r="CK139" s="107"/>
      <c r="CY139" s="109" t="str">
        <f t="shared" si="205"/>
        <v>1.</v>
      </c>
      <c r="CZ139" s="110" t="str">
        <f t="shared" si="206"/>
        <v/>
      </c>
      <c r="DA139" s="110"/>
      <c r="DB139" s="44" t="str">
        <f t="shared" si="207"/>
        <v/>
      </c>
      <c r="DC139" s="27" t="s">
        <v>203</v>
      </c>
      <c r="DE139" s="44">
        <f t="shared" si="208"/>
        <v>0</v>
      </c>
    </row>
    <row r="140" spans="1:113" ht="30" customHeight="1" x14ac:dyDescent="0.55000000000000004">
      <c r="D140" s="85" t="str">
        <f>IF(B137=5,$DC$13,IF(B137=6,$DD$13,IF(B137=7,$DE$13,"")))</f>
        <v/>
      </c>
      <c r="E140" s="85" t="str">
        <f>IF(B137=6,$DD$14,IF(B137=7,$DE$14,""))</f>
        <v/>
      </c>
      <c r="F140" s="85" t="str">
        <f>IF(B137=6,$DD$15,IF(B137=7,$DE$15,""))</f>
        <v/>
      </c>
      <c r="G140" s="86" t="s">
        <v>4</v>
      </c>
      <c r="H140" s="358" t="str">
        <f>IF(AND(I38=8,I48="ANO",(CV40+CV42+CV44+CV46+CX40+CX42+CX44)&gt;27,CX46&gt;3),CS36,IF(AND(I38=8,I48="ANO",(CV40+CV42+CV44+CV46+CX40+CX42+CX44)&gt;26,CX46&gt;3),CS35,IF(AND(I38=8,I48="ANO",(CV40+CV42+CV44+CV46+CX40+CX42+CX44)&gt;25,CX46&gt;3),CS34,IF(AND(I38=8,I48="ANO",(CV40+CV42+CV44+CV46+CX40+CX42+CX44)&gt;24,CX46&gt;3),CS33,IF(AND(I38=8,I48="ANO",(CV40+CV42+CV44+CV46+CX40+CX42+CX44)&gt;23,CX46&gt;3),CS32,IF(AND(I38=8,I48="ANO",(CV40+CV42+CV44+CV46+CX40+CX42+CX44)&gt;22,CX46&gt;3),CS31,IF(AND(I38=8,I48="ANO",(CV40+CV42+CV44+CV46+CX40+CX42+CX44)&gt;21,CX46&gt;3),CS30,IF(AND(I38=8,I48="ANO",(CV40+CV42+CV44+CV46+CX40+CX42+CX44)&gt;20,CX46&gt;3),CS29,""))))))))</f>
        <v/>
      </c>
      <c r="I140" s="358"/>
      <c r="J140" s="111" t="str">
        <f>IF(U137="","",U137)</f>
        <v/>
      </c>
      <c r="K140" s="91" t="str">
        <f t="shared" si="202"/>
        <v/>
      </c>
      <c r="L140" s="112" t="str">
        <f>IF(S137="","",S137)</f>
        <v/>
      </c>
      <c r="M140" s="111" t="str">
        <f>IF(U138="","",U138)</f>
        <v/>
      </c>
      <c r="N140" s="91" t="str">
        <f>IF(AND(M140="",O140=""),"",":")</f>
        <v/>
      </c>
      <c r="O140" s="112" t="str">
        <f>IF(S138="","",S138)</f>
        <v/>
      </c>
      <c r="P140" s="111" t="str">
        <f>IF(U139="","",U139)</f>
        <v/>
      </c>
      <c r="Q140" s="91" t="str">
        <f t="shared" si="184"/>
        <v/>
      </c>
      <c r="R140" s="112" t="str">
        <f>IF(S139="","",S139)</f>
        <v/>
      </c>
      <c r="S140" s="87"/>
      <c r="T140" s="88"/>
      <c r="U140" s="89"/>
      <c r="V140" s="90"/>
      <c r="W140" s="91" t="str">
        <f>IF(AND(V140="",X140=""),"",":")</f>
        <v/>
      </c>
      <c r="X140" s="92"/>
      <c r="Y140" s="90"/>
      <c r="Z140" s="91" t="str">
        <f>IF(AND(Y140="",AA140=""),"",":")</f>
        <v/>
      </c>
      <c r="AA140" s="92"/>
      <c r="AB140" s="90"/>
      <c r="AC140" s="91" t="str">
        <f t="shared" si="185"/>
        <v/>
      </c>
      <c r="AD140" s="92"/>
      <c r="AE140" s="353" t="s">
        <v>281</v>
      </c>
      <c r="AF140" s="354"/>
      <c r="AG140" s="355"/>
      <c r="AH140" s="93">
        <f>IF(U137&gt;S137,1)+IF(U138&gt;S138,1)+IF(U139&gt;S139,1)+IF(V140&gt;X140,1)+IF(Y140&gt;AA140,1)+IF(AB140&gt;AD140,1)</f>
        <v>0</v>
      </c>
      <c r="AI140" s="94" t="s">
        <v>197</v>
      </c>
      <c r="AJ140" s="95">
        <f>U137+U138+U139+V140+Y140+AB140</f>
        <v>0</v>
      </c>
      <c r="AK140" s="96" t="str">
        <f t="shared" si="203"/>
        <v>:</v>
      </c>
      <c r="AL140" s="97">
        <f>S137+S138+S139+X140+AA140+AD140</f>
        <v>0</v>
      </c>
      <c r="AM140" s="98" t="str">
        <f t="shared" si="186"/>
        <v>1.</v>
      </c>
      <c r="AN140" s="99" t="str">
        <f t="shared" si="187"/>
        <v>0 b</v>
      </c>
      <c r="AO140" s="100" t="str">
        <f t="shared" si="188"/>
        <v>(0:0)</v>
      </c>
      <c r="AP140" s="101" t="str">
        <f t="shared" si="189"/>
        <v/>
      </c>
      <c r="AQ140" s="102"/>
      <c r="AR140" s="103" t="str">
        <f t="shared" si="190"/>
        <v>1.</v>
      </c>
      <c r="AS140" s="102"/>
      <c r="AT140" s="104"/>
      <c r="AU140" s="104">
        <f t="shared" si="191"/>
        <v>0</v>
      </c>
      <c r="AV140" s="104">
        <f t="shared" si="192"/>
        <v>1</v>
      </c>
      <c r="AW140" s="106">
        <f>IF(AV137=AV140,U137,"")</f>
        <v>0</v>
      </c>
      <c r="AX140" s="105">
        <f>IF(AV138=AV140,U138,"")</f>
        <v>0</v>
      </c>
      <c r="AY140" s="105">
        <f>IF(AV139=AV140,U139,"")</f>
        <v>0</v>
      </c>
      <c r="AZ140" s="105"/>
      <c r="BA140" s="105">
        <f>IF(AV140=AV141,V140,"")</f>
        <v>0</v>
      </c>
      <c r="BB140" s="105">
        <f>IF(AV140=AV142,Y140,"")</f>
        <v>0</v>
      </c>
      <c r="BC140" s="105">
        <f>IF(AV140=AV143,AB140,"")</f>
        <v>0</v>
      </c>
      <c r="BD140" s="105">
        <f t="shared" si="193"/>
        <v>0</v>
      </c>
      <c r="BE140" s="105">
        <f t="shared" si="194"/>
        <v>0</v>
      </c>
      <c r="BF140" s="105"/>
      <c r="BG140" s="104">
        <f t="shared" si="195"/>
        <v>1</v>
      </c>
      <c r="BH140" s="105">
        <f>IF(AV137=AV140,S137,"")</f>
        <v>0</v>
      </c>
      <c r="BI140" s="105">
        <f>IF(AV138=AV140,S138,"")</f>
        <v>0</v>
      </c>
      <c r="BJ140" s="105">
        <f>IF(AV139=AV140,S139,"")</f>
        <v>0</v>
      </c>
      <c r="BK140" s="105"/>
      <c r="BL140" s="105">
        <f>IF(AV140=AV141,X140,"")</f>
        <v>0</v>
      </c>
      <c r="BM140" s="105">
        <f>IF(AV140=AV142,AA140,"")</f>
        <v>0</v>
      </c>
      <c r="BN140" s="105">
        <f>IF(AV140=AV143,AD140,"")</f>
        <v>0</v>
      </c>
      <c r="BO140" s="105">
        <f t="shared" si="196"/>
        <v>0</v>
      </c>
      <c r="BQ140" s="10" t="b">
        <f t="shared" si="197"/>
        <v>0</v>
      </c>
      <c r="BR140" s="10">
        <f t="shared" si="204"/>
        <v>0</v>
      </c>
      <c r="BS140" s="10" t="b">
        <f t="shared" si="198"/>
        <v>1</v>
      </c>
      <c r="BT140" s="10">
        <f>BT138*BT139</f>
        <v>0</v>
      </c>
      <c r="BU140" s="10">
        <f>BU138*BU139</f>
        <v>0</v>
      </c>
      <c r="BV140" s="10">
        <f>BV138*BV139</f>
        <v>0</v>
      </c>
      <c r="BW140" s="10">
        <f>BW138*BW139</f>
        <v>0</v>
      </c>
      <c r="BX140" s="10">
        <f>BX138*BX139</f>
        <v>0</v>
      </c>
      <c r="BY140" s="10"/>
      <c r="BZ140" s="10" t="str">
        <f t="shared" si="199"/>
        <v/>
      </c>
      <c r="CA140" s="107"/>
      <c r="CB140" s="104">
        <f t="shared" si="200"/>
        <v>1</v>
      </c>
      <c r="CC140" s="106"/>
      <c r="CD140" s="105"/>
      <c r="CE140" s="105"/>
      <c r="CF140" s="105"/>
      <c r="CG140" s="106">
        <f>IF(CB140=CB141,1,"")</f>
        <v>1</v>
      </c>
      <c r="CH140" s="106">
        <f>IF(CB140=CB142,1,"")</f>
        <v>1</v>
      </c>
      <c r="CI140" s="106">
        <f>IF(CB140=CB143,1,"")</f>
        <v>1</v>
      </c>
      <c r="CJ140" s="105">
        <f t="shared" si="201"/>
        <v>3</v>
      </c>
      <c r="CK140" s="107"/>
      <c r="CY140" s="109" t="str">
        <f t="shared" si="205"/>
        <v>1.</v>
      </c>
      <c r="CZ140" s="110" t="str">
        <f t="shared" si="206"/>
        <v/>
      </c>
      <c r="DA140" s="110"/>
      <c r="DB140" s="44" t="str">
        <f t="shared" si="207"/>
        <v/>
      </c>
      <c r="DC140" s="27" t="s">
        <v>204</v>
      </c>
      <c r="DE140" s="44">
        <f t="shared" si="208"/>
        <v>0</v>
      </c>
      <c r="DF140" s="44">
        <f t="shared" ref="DF140:DI143" si="209">IF(($AJ$140+$AL$140)&gt;0,8,0)</f>
        <v>0</v>
      </c>
      <c r="DG140" s="44">
        <f t="shared" si="209"/>
        <v>0</v>
      </c>
      <c r="DH140" s="44">
        <f t="shared" si="209"/>
        <v>0</v>
      </c>
      <c r="DI140" s="44">
        <f t="shared" si="209"/>
        <v>0</v>
      </c>
    </row>
    <row r="141" spans="1:113" ht="30" customHeight="1" x14ac:dyDescent="0.55000000000000004">
      <c r="D141" s="85" t="str">
        <f>IF(B137=6,$DD$16,IF(B137=7,$DE$16,""))</f>
        <v/>
      </c>
      <c r="E141" s="85" t="str">
        <f>IF(B137=6,$DD$17,IF(B137=7,$DE$17,""))</f>
        <v/>
      </c>
      <c r="F141" s="85" t="str">
        <f>IF(B137=6,$DD$18,IF(B137=7,$DE$18,""))</f>
        <v/>
      </c>
      <c r="G141" s="86" t="s">
        <v>5</v>
      </c>
      <c r="H141" s="358" t="str">
        <f>IF(AND(I38=8,I48="ANO",(CV40+CV42+CV44+CV46+CX40+CX42+CX44)&gt;34,CX46&gt;4),CS44,IF(AND(I38=8,I48="ANO",(CV40+CV42+CV44+CV46+CX40+CX42+CX44)&gt;33,CX46&gt;4),CS43,IF(AND(I38=8,I48="ANO",(CV40+CV42+CV44+CV46+CX40+CX42+CX44)&gt;32,CX46&gt;4),CS42,IF(AND(I38=8,I48="ANO",(CV40+CV42+CV44+CV46+CX40+CX42+CX44)&gt;31,CX46&gt;4),CS41,IF(AND(I38=8,I48="ANO",(CV40+CV42+CV44+CV46+CX40+CX42+CX44)&gt;30,CX46&gt;4),CS40,IF(AND(I38=8,I48="ANO",(CV40+CV42+CV44+CV46+CX40+CX42+CX44)&gt;29,CX46&gt;4),CS39,IF(AND(I38=8,I48="ANO",(CV40+CV42+CV44+CV46+CX40+CX42+CX44)&gt;28,CX46&gt;4),CS38,IF(AND(I38=8,I48="ANO",(CV40+CV42+CV44+CV46+CX40+CX42+CX44)&gt;27,CX46&gt;4),CS37,""))))))))</f>
        <v/>
      </c>
      <c r="I141" s="358"/>
      <c r="J141" s="111" t="str">
        <f>IF(X137="","",X137)</f>
        <v/>
      </c>
      <c r="K141" s="91" t="str">
        <f t="shared" si="202"/>
        <v/>
      </c>
      <c r="L141" s="112" t="str">
        <f>IF(V137="","",V137)</f>
        <v/>
      </c>
      <c r="M141" s="111" t="str">
        <f>IF(X138="","",X138)</f>
        <v/>
      </c>
      <c r="N141" s="91" t="str">
        <f>IF(AND(M141="",O141=""),"",":")</f>
        <v/>
      </c>
      <c r="O141" s="112" t="str">
        <f>IF(V138="","",V138)</f>
        <v/>
      </c>
      <c r="P141" s="111" t="str">
        <f>IF(X139="","",X139)</f>
        <v/>
      </c>
      <c r="Q141" s="91" t="str">
        <f t="shared" si="184"/>
        <v/>
      </c>
      <c r="R141" s="112" t="str">
        <f>IF(V139="","",V139)</f>
        <v/>
      </c>
      <c r="S141" s="111" t="str">
        <f>IF(X140="","",X140)</f>
        <v/>
      </c>
      <c r="T141" s="91" t="str">
        <f>IF(AND(S141="",U141=""),"",":")</f>
        <v/>
      </c>
      <c r="U141" s="112" t="str">
        <f>IF(V140="","",V140)</f>
        <v/>
      </c>
      <c r="V141" s="87"/>
      <c r="W141" s="88"/>
      <c r="X141" s="89"/>
      <c r="Y141" s="90"/>
      <c r="Z141" s="91" t="str">
        <f>IF(AND(Y141="",AA141=""),"",":")</f>
        <v/>
      </c>
      <c r="AA141" s="92"/>
      <c r="AB141" s="90"/>
      <c r="AC141" s="91" t="str">
        <f t="shared" si="185"/>
        <v/>
      </c>
      <c r="AD141" s="92"/>
      <c r="AE141" s="359" t="s">
        <v>286</v>
      </c>
      <c r="AF141" s="354"/>
      <c r="AG141" s="355"/>
      <c r="AH141" s="93">
        <f>IF(X137&gt;V137,1)+IF(X138&gt;V138,1)+IF(X139&gt;V139,1)+IF(X140&gt;V140,1)+IF(Y141&gt;AA141,1)+IF(AB141&gt;AD141,1)</f>
        <v>0</v>
      </c>
      <c r="AI141" s="94" t="s">
        <v>197</v>
      </c>
      <c r="AJ141" s="95">
        <f>X137+X138+X139+X140+Y141+AB141</f>
        <v>0</v>
      </c>
      <c r="AK141" s="96" t="str">
        <f t="shared" si="203"/>
        <v>:</v>
      </c>
      <c r="AL141" s="97">
        <f>V137+V138+V139+V140+AA141+AD141</f>
        <v>0</v>
      </c>
      <c r="AM141" s="98" t="str">
        <f t="shared" si="186"/>
        <v>1.</v>
      </c>
      <c r="AN141" s="99" t="str">
        <f t="shared" si="187"/>
        <v>0 b</v>
      </c>
      <c r="AO141" s="100" t="str">
        <f t="shared" si="188"/>
        <v>(0:0)</v>
      </c>
      <c r="AP141" s="101" t="str">
        <f t="shared" si="189"/>
        <v/>
      </c>
      <c r="AQ141" s="102"/>
      <c r="AR141" s="103" t="str">
        <f t="shared" si="190"/>
        <v>1.</v>
      </c>
      <c r="AS141" s="102"/>
      <c r="AT141" s="104"/>
      <c r="AU141" s="104">
        <f t="shared" si="191"/>
        <v>0</v>
      </c>
      <c r="AV141" s="104">
        <f t="shared" si="192"/>
        <v>1</v>
      </c>
      <c r="AW141" s="106">
        <f>IF(AV137=AV141,X137,"")</f>
        <v>0</v>
      </c>
      <c r="AX141" s="105">
        <f>IF(AV138=AV141,X138,"")</f>
        <v>0</v>
      </c>
      <c r="AY141" s="105">
        <f>IF(AV139=AV141,X139,"")</f>
        <v>0</v>
      </c>
      <c r="AZ141" s="105">
        <f>IF(AV140=AV141,X140,"")</f>
        <v>0</v>
      </c>
      <c r="BA141" s="105"/>
      <c r="BB141" s="105">
        <f>IF(AV141=AV142,Y141,"")</f>
        <v>0</v>
      </c>
      <c r="BC141" s="105">
        <f>IF(AV141=AV143,AB141,"")</f>
        <v>0</v>
      </c>
      <c r="BD141" s="105">
        <f t="shared" si="193"/>
        <v>0</v>
      </c>
      <c r="BE141" s="105">
        <f t="shared" si="194"/>
        <v>0</v>
      </c>
      <c r="BF141" s="105"/>
      <c r="BG141" s="104">
        <f t="shared" si="195"/>
        <v>1</v>
      </c>
      <c r="BH141" s="105">
        <f>IF(AV137=AV141,V137,"")</f>
        <v>0</v>
      </c>
      <c r="BI141" s="105">
        <f>IF(AV138=AV141,V138,"")</f>
        <v>0</v>
      </c>
      <c r="BJ141" s="105">
        <f>IF(AV139=AV141,V139,"")</f>
        <v>0</v>
      </c>
      <c r="BK141" s="105">
        <f>IF(AV140=AV141,V140,"")</f>
        <v>0</v>
      </c>
      <c r="BL141" s="105"/>
      <c r="BM141" s="105">
        <f>IF(AV141=AV142,AA141,"")</f>
        <v>0</v>
      </c>
      <c r="BN141" s="105">
        <f>IF(AV141=AV143,AD141,"")</f>
        <v>0</v>
      </c>
      <c r="BO141" s="105">
        <f t="shared" si="196"/>
        <v>0</v>
      </c>
      <c r="BQ141" s="10" t="b">
        <f t="shared" si="197"/>
        <v>0</v>
      </c>
      <c r="BR141" s="10">
        <f t="shared" si="204"/>
        <v>0</v>
      </c>
      <c r="BS141" s="10" t="b">
        <f t="shared" si="198"/>
        <v>1</v>
      </c>
      <c r="BT141" s="10" t="str">
        <f>IF(BT140=0,"",BT140)</f>
        <v/>
      </c>
      <c r="BU141" s="10" t="str">
        <f>IF(BU140=0,"",BU140)</f>
        <v/>
      </c>
      <c r="BV141" s="10" t="str">
        <f>IF(BV140=0,"",BV140)</f>
        <v/>
      </c>
      <c r="BW141" s="10" t="str">
        <f>IF(BW140=0,"",BW140)</f>
        <v/>
      </c>
      <c r="BX141" s="10" t="str">
        <f>IF(BX140=0,"",BX140)</f>
        <v/>
      </c>
      <c r="BY141" s="10"/>
      <c r="BZ141" s="10" t="str">
        <f t="shared" si="199"/>
        <v/>
      </c>
      <c r="CA141" s="107"/>
      <c r="CB141" s="104">
        <f t="shared" si="200"/>
        <v>1</v>
      </c>
      <c r="CC141" s="106"/>
      <c r="CD141" s="105"/>
      <c r="CE141" s="105"/>
      <c r="CF141" s="105"/>
      <c r="CG141" s="105"/>
      <c r="CH141" s="106">
        <f>IF(CB141=CB142,1,"")</f>
        <v>1</v>
      </c>
      <c r="CI141" s="106">
        <f>IF(CB141=CB143,1,"")</f>
        <v>1</v>
      </c>
      <c r="CJ141" s="105">
        <f t="shared" si="201"/>
        <v>2</v>
      </c>
      <c r="CK141" s="107"/>
      <c r="CY141" s="109" t="str">
        <f t="shared" si="205"/>
        <v>1.</v>
      </c>
      <c r="CZ141" s="110" t="str">
        <f t="shared" si="206"/>
        <v/>
      </c>
      <c r="DA141" s="110"/>
      <c r="DB141" s="44" t="str">
        <f t="shared" si="207"/>
        <v/>
      </c>
      <c r="DC141" s="27" t="s">
        <v>205</v>
      </c>
      <c r="DE141" s="44">
        <f t="shared" si="208"/>
        <v>0</v>
      </c>
      <c r="DF141" s="44">
        <f t="shared" si="209"/>
        <v>0</v>
      </c>
      <c r="DG141" s="44">
        <f t="shared" si="209"/>
        <v>0</v>
      </c>
      <c r="DH141" s="44">
        <f t="shared" si="209"/>
        <v>0</v>
      </c>
      <c r="DI141" s="44">
        <f t="shared" si="209"/>
        <v>0</v>
      </c>
    </row>
    <row r="142" spans="1:113" ht="30" customHeight="1" x14ac:dyDescent="0.55000000000000004">
      <c r="D142" s="85" t="str">
        <f>IF(B137=7,$DE$19,"")</f>
        <v/>
      </c>
      <c r="E142" s="85" t="str">
        <f>IF(B137=7,$DE$20,"")</f>
        <v/>
      </c>
      <c r="F142" s="85" t="str">
        <f>IF(B137=7,$DE$21,"")</f>
        <v/>
      </c>
      <c r="G142" s="86" t="s">
        <v>6</v>
      </c>
      <c r="H142" s="358" t="str">
        <f>IF(AND(I38=8,I48="ANO",(CV40+CV42+CV44+CV46+CX40+CX42+CX44)&gt;41,CX46&gt;5),CS52,IF(AND(I38=8,I48="ANO",(CV40+CV42+CV44+CV46+CX40+CX42+CX44)&gt;40,CX46&gt;5),CS51,IF(AND(I38=8,I48="ANO",(CV40+CV42+CV44+CV46+CX40+CX42+CX44)&gt;39,CX46&gt;5),CS50,IF(AND(I38=8,I48="ANO",(CV40+CV42+CV44+CV46+CX40+CX42+CX44)&gt;38,CX46&gt;5),CS49,IF(AND(I38=8,I48="ANO",(CV40+CV42+CV44+CV46+CX40+CX42+CX44)&gt;37,CX46&gt;5),CS48,IF(AND(I38=8,I48="ANO",(CV40+CV42+CV44+CV46+CX40+CX42+CX44)&gt;36,CX46&gt;5),CS47,IF(AND(I38=8,I48="ANO",(CV40+CV42+CV44+CV46+CX40+CX42+CX44)&gt;35,CX46&gt;5),CS46,IF(AND(I38=8,I48="ANO",(CV40+CV42+CV44+CV46+CX40+CX42+CX44)&gt;34,CX46&gt;5),CS45,""))))))))</f>
        <v/>
      </c>
      <c r="I142" s="358"/>
      <c r="J142" s="111" t="str">
        <f>IF(AA137="","",AA137)</f>
        <v/>
      </c>
      <c r="K142" s="91" t="str">
        <f t="shared" si="202"/>
        <v/>
      </c>
      <c r="L142" s="112" t="str">
        <f>IF(Y137="","",Y137)</f>
        <v/>
      </c>
      <c r="M142" s="111" t="str">
        <f>IF(AA138="","",AA138)</f>
        <v/>
      </c>
      <c r="N142" s="91" t="str">
        <f>IF(AND(M142="",O142=""),"",":")</f>
        <v/>
      </c>
      <c r="O142" s="112" t="str">
        <f>IF(Y138="","",Y138)</f>
        <v/>
      </c>
      <c r="P142" s="111" t="str">
        <f>IF(AA139="","",AA139)</f>
        <v/>
      </c>
      <c r="Q142" s="91" t="str">
        <f t="shared" si="184"/>
        <v/>
      </c>
      <c r="R142" s="112" t="str">
        <f>IF(Y139="","",Y139)</f>
        <v/>
      </c>
      <c r="S142" s="111" t="str">
        <f>IF(AA140="","",AA140)</f>
        <v/>
      </c>
      <c r="T142" s="91" t="str">
        <f>IF(AND(S142="",U142=""),"",":")</f>
        <v/>
      </c>
      <c r="U142" s="112" t="str">
        <f>IF(Y140="","",Y140)</f>
        <v/>
      </c>
      <c r="V142" s="111" t="str">
        <f>IF(AA141="","",AA141)</f>
        <v/>
      </c>
      <c r="W142" s="91" t="str">
        <f>IF(AND(V142="",X142=""),"",":")</f>
        <v/>
      </c>
      <c r="X142" s="112" t="str">
        <f>IF(Y141="","",Y141)</f>
        <v/>
      </c>
      <c r="Y142" s="87"/>
      <c r="Z142" s="88"/>
      <c r="AA142" s="89"/>
      <c r="AB142" s="90"/>
      <c r="AC142" s="91" t="str">
        <f t="shared" si="185"/>
        <v/>
      </c>
      <c r="AD142" s="92"/>
      <c r="AE142" s="353" t="s">
        <v>287</v>
      </c>
      <c r="AF142" s="354"/>
      <c r="AG142" s="355"/>
      <c r="AH142" s="93">
        <f>IF(AA137&gt;Y137,1)+IF(AA138&gt;Y138,1)+IF(AA139&gt;Y139,1)+IF(AA140&gt;Y140,1)+IF(AA141&gt;Y141,1)+IF(AB142&gt;AD142,1)</f>
        <v>0</v>
      </c>
      <c r="AI142" s="94" t="s">
        <v>197</v>
      </c>
      <c r="AJ142" s="95">
        <f>AA137+AA138+AA139+AA140+AA141+AB142</f>
        <v>0</v>
      </c>
      <c r="AK142" s="96" t="str">
        <f t="shared" si="203"/>
        <v>:</v>
      </c>
      <c r="AL142" s="97">
        <f>Y137+Y138+Y139+Y140+Y141+AD142</f>
        <v>0</v>
      </c>
      <c r="AM142" s="98" t="str">
        <f t="shared" si="186"/>
        <v>1.</v>
      </c>
      <c r="AN142" s="99" t="str">
        <f t="shared" si="187"/>
        <v>0 b</v>
      </c>
      <c r="AO142" s="100" t="str">
        <f t="shared" si="188"/>
        <v>(0:0)</v>
      </c>
      <c r="AP142" s="101" t="str">
        <f t="shared" si="189"/>
        <v/>
      </c>
      <c r="AQ142" s="102"/>
      <c r="AR142" s="103" t="str">
        <f t="shared" si="190"/>
        <v>1.</v>
      </c>
      <c r="AS142" s="102"/>
      <c r="AT142" s="104"/>
      <c r="AU142" s="104">
        <f t="shared" si="191"/>
        <v>0</v>
      </c>
      <c r="AV142" s="104">
        <f t="shared" si="192"/>
        <v>1</v>
      </c>
      <c r="AW142" s="106">
        <f>IF(AV137=AV142,AA137,"")</f>
        <v>0</v>
      </c>
      <c r="AX142" s="105">
        <f>IF(AV138=AV142,AA138,"")</f>
        <v>0</v>
      </c>
      <c r="AY142" s="105">
        <f>IF(AV139=AV142,AA139,"")</f>
        <v>0</v>
      </c>
      <c r="AZ142" s="105">
        <f>IF(AV140=AV142,AA140,"")</f>
        <v>0</v>
      </c>
      <c r="BA142" s="105">
        <f>IF(AV141=AV142,AA141,"")</f>
        <v>0</v>
      </c>
      <c r="BB142" s="105"/>
      <c r="BC142" s="105">
        <f>IF(AV142=AV143,AB142,"")</f>
        <v>0</v>
      </c>
      <c r="BD142" s="105">
        <f t="shared" si="193"/>
        <v>0</v>
      </c>
      <c r="BE142" s="105">
        <f t="shared" si="194"/>
        <v>0</v>
      </c>
      <c r="BF142" s="105"/>
      <c r="BG142" s="104">
        <f t="shared" si="195"/>
        <v>1</v>
      </c>
      <c r="BH142" s="105">
        <f>IF(AV137=AV142,Y137,"")</f>
        <v>0</v>
      </c>
      <c r="BI142" s="105">
        <f>IF(AV138=AV142,Y138,"")</f>
        <v>0</v>
      </c>
      <c r="BJ142" s="105">
        <f>IF(AV139=AV142,Y139,"")</f>
        <v>0</v>
      </c>
      <c r="BK142" s="105">
        <f>IF(AV140=AV142,Y140,"")</f>
        <v>0</v>
      </c>
      <c r="BL142" s="105">
        <f>IF(AV141=AV142,Y141,"")</f>
        <v>0</v>
      </c>
      <c r="BM142" s="105"/>
      <c r="BN142" s="105">
        <f>IF(AV142=AV143,AD142,"")</f>
        <v>0</v>
      </c>
      <c r="BO142" s="105">
        <f t="shared" si="196"/>
        <v>0</v>
      </c>
      <c r="BQ142" s="10" t="b">
        <f t="shared" si="197"/>
        <v>0</v>
      </c>
      <c r="BR142" s="10">
        <f t="shared" si="204"/>
        <v>0</v>
      </c>
      <c r="BS142" s="10" t="b">
        <f t="shared" si="198"/>
        <v>1</v>
      </c>
      <c r="BT142" s="10"/>
      <c r="BU142" s="10"/>
      <c r="BV142" s="10"/>
      <c r="BW142" s="10"/>
      <c r="BX142" s="10"/>
      <c r="BY142" s="10"/>
      <c r="BZ142" s="10" t="str">
        <f t="shared" si="199"/>
        <v/>
      </c>
      <c r="CA142" s="107"/>
      <c r="CB142" s="104">
        <f t="shared" si="200"/>
        <v>1</v>
      </c>
      <c r="CC142" s="106"/>
      <c r="CD142" s="105"/>
      <c r="CE142" s="105"/>
      <c r="CF142" s="105"/>
      <c r="CG142" s="105"/>
      <c r="CH142" s="105"/>
      <c r="CI142" s="106">
        <f>IF(CB142=CB143,1,"")</f>
        <v>1</v>
      </c>
      <c r="CJ142" s="105">
        <f t="shared" si="201"/>
        <v>1</v>
      </c>
      <c r="CK142" s="107"/>
      <c r="CY142" s="109" t="str">
        <f t="shared" si="205"/>
        <v>1.</v>
      </c>
      <c r="CZ142" s="110" t="str">
        <f t="shared" si="206"/>
        <v/>
      </c>
      <c r="DA142" s="110"/>
      <c r="DB142" s="44" t="str">
        <f t="shared" si="207"/>
        <v/>
      </c>
      <c r="DC142" s="27" t="s">
        <v>206</v>
      </c>
      <c r="DE142" s="44">
        <f t="shared" si="208"/>
        <v>0</v>
      </c>
      <c r="DF142" s="44">
        <f t="shared" si="209"/>
        <v>0</v>
      </c>
      <c r="DG142" s="44">
        <f t="shared" si="209"/>
        <v>0</v>
      </c>
      <c r="DH142" s="44">
        <f t="shared" si="209"/>
        <v>0</v>
      </c>
      <c r="DI142" s="44">
        <f t="shared" si="209"/>
        <v>0</v>
      </c>
    </row>
    <row r="143" spans="1:113" ht="30" customHeight="1" x14ac:dyDescent="0.55000000000000004">
      <c r="D143" s="85" t="str">
        <f>IF(B137=7,$DE$22,"")</f>
        <v/>
      </c>
      <c r="E143" s="85" t="str">
        <f>IF(B137=7,$DE$23,"")</f>
        <v/>
      </c>
      <c r="F143" s="85" t="str">
        <f>IF(B137=7,$DE$24,"")</f>
        <v/>
      </c>
      <c r="G143" s="86" t="s">
        <v>7</v>
      </c>
      <c r="H143" s="358" t="str">
        <f>IF(AND(I38=8,I48="ANO",(CV40+CV42+CV44+CV46+CX40+CX42+CX44)&gt;48,CX46&gt;6),CS60,IF(AND(I38=8,I48="ANO",(CV40+CV42+CV44+CV46+CX40+CX42+CX44)&gt;47,CX46&gt;6),CS59,IF(AND(I38=8,I48="ANO",(CV40+CV42+CV44+CV46+CX40+CX42+CX44)&gt;46,CX46&gt;6),CS58,IF(AND(I38=8,I48="ANO",(CV40+CV42+CV44+CV46+CX40+CX42+CX44)&gt;45,CX46&gt;6),CS57,IF(AND(I38=8,I48="ANO",(CV40+CV42+CV44+CV46+CX40+CX42+CX44)&gt;44,CX46&gt;6),CS56,IF(AND(I38=8,I48="ANO",(CV40+CV42+CV44+CV46+CX40+CX42+CX44)&gt;43,CX46&gt;6),CS55,IF(AND(I38=8,I48="ANO",(CV40+CV42+CV44+CV46+CX40+CX42+CX44)&gt;42,CX46&gt;6),CS54,IF(AND(I38=8,I48="ANO",(CV40+CV42+CV44+CV46+CX40+CX42+CX44)&gt;41,CX46&gt;6),CS53,""))))))))</f>
        <v/>
      </c>
      <c r="I143" s="358"/>
      <c r="J143" s="111" t="str">
        <f>IF(AD137="","",AD137)</f>
        <v/>
      </c>
      <c r="K143" s="91" t="str">
        <f t="shared" si="202"/>
        <v/>
      </c>
      <c r="L143" s="112" t="str">
        <f>IF(AB137="","",AB137)</f>
        <v/>
      </c>
      <c r="M143" s="111" t="str">
        <f>IF(AD138="","",AD138)</f>
        <v/>
      </c>
      <c r="N143" s="91" t="str">
        <f>IF(AND(M143="",O143=""),"",":")</f>
        <v/>
      </c>
      <c r="O143" s="112" t="str">
        <f>IF(AB138="","",AB138)</f>
        <v/>
      </c>
      <c r="P143" s="111" t="str">
        <f>IF(AD139="","",AD139)</f>
        <v/>
      </c>
      <c r="Q143" s="91" t="str">
        <f t="shared" si="184"/>
        <v/>
      </c>
      <c r="R143" s="112" t="str">
        <f>IF(AB139="","",AB139)</f>
        <v/>
      </c>
      <c r="S143" s="111" t="str">
        <f>IF(AD140="","",AD140)</f>
        <v/>
      </c>
      <c r="T143" s="91" t="str">
        <f>IF(AND(S143="",U143=""),"",":")</f>
        <v/>
      </c>
      <c r="U143" s="112" t="str">
        <f>IF(AB140="","",AB140)</f>
        <v/>
      </c>
      <c r="V143" s="111" t="str">
        <f>IF(AD141="","",AD141)</f>
        <v/>
      </c>
      <c r="W143" s="91" t="str">
        <f>IF(AND(V143="",X143=""),"",":")</f>
        <v/>
      </c>
      <c r="X143" s="112" t="str">
        <f>IF(AB141="","",AB141)</f>
        <v/>
      </c>
      <c r="Y143" s="111" t="str">
        <f>IF(AD142="","",AD142)</f>
        <v/>
      </c>
      <c r="Z143" s="91" t="str">
        <f>IF(AND(Y143="",AA143=""),"",":")</f>
        <v/>
      </c>
      <c r="AA143" s="112" t="str">
        <f>IF(AB142="","",AB142)</f>
        <v/>
      </c>
      <c r="AB143" s="87"/>
      <c r="AC143" s="88"/>
      <c r="AD143" s="89"/>
      <c r="AE143" s="359" t="s">
        <v>288</v>
      </c>
      <c r="AF143" s="354"/>
      <c r="AG143" s="355"/>
      <c r="AH143" s="93">
        <f>IF(AD137&gt;AB137,1)+IF(AD138&gt;AB138,1)+IF(AD139&gt;AB139,1)+IF(AD140&gt;AB140,1)+IF(AD141&gt;AB141,1)+IF(AD142&gt;AB142,1)</f>
        <v>0</v>
      </c>
      <c r="AI143" s="94" t="s">
        <v>197</v>
      </c>
      <c r="AJ143" s="95">
        <f>AD137+AD138+AD139+AD140+AD141+AD142</f>
        <v>0</v>
      </c>
      <c r="AK143" s="96" t="str">
        <f t="shared" si="203"/>
        <v>:</v>
      </c>
      <c r="AL143" s="97">
        <f>AB137+AB138+AB139+AB140+AB141+AB142</f>
        <v>0</v>
      </c>
      <c r="AM143" s="98" t="str">
        <f t="shared" si="186"/>
        <v>1.</v>
      </c>
      <c r="AN143" s="99" t="str">
        <f t="shared" si="187"/>
        <v>0 b</v>
      </c>
      <c r="AO143" s="100" t="str">
        <f t="shared" si="188"/>
        <v>(0:0)</v>
      </c>
      <c r="AP143" s="101" t="str">
        <f t="shared" si="189"/>
        <v/>
      </c>
      <c r="AQ143" s="102"/>
      <c r="AR143" s="103" t="str">
        <f t="shared" si="190"/>
        <v>1.</v>
      </c>
      <c r="AS143" s="102"/>
      <c r="AT143" s="104"/>
      <c r="AU143" s="104">
        <f t="shared" si="191"/>
        <v>0</v>
      </c>
      <c r="AV143" s="104">
        <f t="shared" si="192"/>
        <v>1</v>
      </c>
      <c r="AW143" s="106">
        <f>IF(AV137=AV143,AD137,"")</f>
        <v>0</v>
      </c>
      <c r="AX143" s="105">
        <f>IF(AV138=AV143,AD138,"")</f>
        <v>0</v>
      </c>
      <c r="AY143" s="105">
        <f>IF(AV139=AV143,AD139,"")</f>
        <v>0</v>
      </c>
      <c r="AZ143" s="105">
        <f>IF(AV140=AV143,AD140,"")</f>
        <v>0</v>
      </c>
      <c r="BA143" s="105">
        <f>IF(AV141=AV143,AD141,"")</f>
        <v>0</v>
      </c>
      <c r="BB143" s="105">
        <f>IF(AV142=AV143,AD142,"")</f>
        <v>0</v>
      </c>
      <c r="BC143" s="105"/>
      <c r="BD143" s="105">
        <f t="shared" si="193"/>
        <v>0</v>
      </c>
      <c r="BE143" s="105">
        <f t="shared" si="194"/>
        <v>0</v>
      </c>
      <c r="BF143" s="105"/>
      <c r="BG143" s="104">
        <f t="shared" si="195"/>
        <v>1</v>
      </c>
      <c r="BH143" s="105">
        <f>IF(AV137=AV143,AB137,"")</f>
        <v>0</v>
      </c>
      <c r="BI143" s="105">
        <f>IF(AV138=AV143,AB138,"")</f>
        <v>0</v>
      </c>
      <c r="BJ143" s="105">
        <f>IF(AV139=AV143,AB139,"")</f>
        <v>0</v>
      </c>
      <c r="BK143" s="105">
        <f>IF(AV140=AV143,AB140,"")</f>
        <v>0</v>
      </c>
      <c r="BL143" s="105">
        <f>IF(AV141=AV143,AB141,"")</f>
        <v>0</v>
      </c>
      <c r="BM143" s="105">
        <f>IF(AV142=AV143,AB142,"")</f>
        <v>0</v>
      </c>
      <c r="BN143" s="105"/>
      <c r="BO143" s="105">
        <f t="shared" si="196"/>
        <v>0</v>
      </c>
      <c r="BQ143" s="10" t="b">
        <f t="shared" si="197"/>
        <v>0</v>
      </c>
      <c r="BR143" s="10">
        <f t="shared" si="204"/>
        <v>0</v>
      </c>
      <c r="BS143" s="10" t="b">
        <f t="shared" si="198"/>
        <v>1</v>
      </c>
      <c r="BT143" s="10"/>
      <c r="BU143" s="10"/>
      <c r="BV143" s="10"/>
      <c r="BW143" s="10"/>
      <c r="BX143" s="10"/>
      <c r="BY143" s="10"/>
      <c r="BZ143" s="10" t="str">
        <f t="shared" si="199"/>
        <v/>
      </c>
      <c r="CA143" s="107"/>
      <c r="CB143" s="104">
        <f t="shared" si="200"/>
        <v>1</v>
      </c>
      <c r="CC143" s="106"/>
      <c r="CD143" s="105"/>
      <c r="CE143" s="105"/>
      <c r="CF143" s="105"/>
      <c r="CG143" s="105"/>
      <c r="CH143" s="105"/>
      <c r="CI143" s="105"/>
      <c r="CJ143" s="105">
        <f t="shared" si="201"/>
        <v>0</v>
      </c>
      <c r="CK143" s="107"/>
      <c r="CY143" s="109" t="str">
        <f t="shared" si="205"/>
        <v>1.</v>
      </c>
      <c r="CZ143" s="110" t="str">
        <f t="shared" si="206"/>
        <v/>
      </c>
      <c r="DA143" s="110"/>
      <c r="DB143" s="44" t="str">
        <f t="shared" si="207"/>
        <v/>
      </c>
      <c r="DC143" s="27" t="s">
        <v>207</v>
      </c>
      <c r="DE143" s="44">
        <f t="shared" si="208"/>
        <v>0</v>
      </c>
      <c r="DF143" s="44">
        <f t="shared" si="209"/>
        <v>0</v>
      </c>
      <c r="DG143" s="44">
        <f t="shared" si="209"/>
        <v>0</v>
      </c>
      <c r="DH143" s="44">
        <f t="shared" si="209"/>
        <v>0</v>
      </c>
      <c r="DI143" s="44">
        <f t="shared" si="209"/>
        <v>0</v>
      </c>
    </row>
    <row r="144" spans="1:113" ht="18.75" customHeight="1" x14ac:dyDescent="0.5">
      <c r="B144" s="122"/>
      <c r="C144" s="122"/>
      <c r="D144" s="122"/>
      <c r="E144" s="122"/>
      <c r="H144" s="121"/>
      <c r="AK144" s="118"/>
      <c r="AN144" s="119"/>
      <c r="AP144" s="119">
        <f>COUNTIF(AP137:AP143,"&gt;0")</f>
        <v>0</v>
      </c>
      <c r="AU144" s="10">
        <f>COUNTIF(AU137:AU143,"&gt;0")</f>
        <v>0</v>
      </c>
      <c r="AY144" s="10"/>
      <c r="BR144" s="9">
        <f>SUM(BR137:BR143)</f>
        <v>0</v>
      </c>
      <c r="BS144" s="10">
        <f>COUNTIF(BS137:BS143,TRUE)</f>
        <v>7</v>
      </c>
      <c r="BT144" s="9">
        <f>BR144*BS144</f>
        <v>0</v>
      </c>
      <c r="BZ144" s="10">
        <f>COUNTIF(BZ137:BZ143,1)</f>
        <v>0</v>
      </c>
      <c r="CE144" s="10"/>
      <c r="CK144" s="120">
        <f>SUM(AH137:AH143)</f>
        <v>0</v>
      </c>
    </row>
    <row r="145" spans="1:112" x14ac:dyDescent="0.5">
      <c r="B145" s="123"/>
      <c r="C145" s="124"/>
      <c r="D145" s="124"/>
      <c r="E145" s="124"/>
      <c r="H145" s="121"/>
    </row>
    <row r="146" spans="1:112" ht="9" customHeight="1" x14ac:dyDescent="0.4">
      <c r="B146" s="367"/>
      <c r="C146" s="368"/>
      <c r="D146" s="368"/>
      <c r="E146" s="368"/>
      <c r="F146" s="368"/>
      <c r="G146" s="368"/>
      <c r="H146" s="368"/>
      <c r="I146" s="368"/>
      <c r="J146" s="368"/>
      <c r="K146" s="368"/>
      <c r="L146" s="368"/>
      <c r="M146" s="368"/>
      <c r="N146" s="368"/>
      <c r="O146" s="368"/>
      <c r="P146" s="368"/>
      <c r="Q146" s="368"/>
      <c r="R146" s="368"/>
      <c r="S146" s="368"/>
      <c r="T146" s="368"/>
      <c r="U146" s="368"/>
      <c r="V146" s="368"/>
      <c r="W146" s="368"/>
      <c r="X146" s="368"/>
      <c r="Y146" s="368"/>
      <c r="Z146" s="368"/>
      <c r="AA146" s="368"/>
      <c r="AB146" s="368"/>
      <c r="AC146" s="368"/>
      <c r="AD146" s="368"/>
      <c r="AE146" s="368"/>
      <c r="AF146" s="368"/>
      <c r="AG146" s="368"/>
      <c r="AH146" s="368"/>
      <c r="AI146" s="368"/>
      <c r="AJ146" s="368"/>
      <c r="AK146" s="368"/>
      <c r="AL146" s="368"/>
      <c r="AM146" s="368"/>
      <c r="AN146" s="368"/>
      <c r="AO146" s="368"/>
      <c r="AP146" s="368"/>
      <c r="AQ146" s="369"/>
    </row>
    <row r="147" spans="1:112" customFormat="1" ht="18.75" customHeight="1" x14ac:dyDescent="0.5">
      <c r="G147" s="125"/>
      <c r="H147" s="121"/>
      <c r="I147" s="126"/>
      <c r="AE147" s="127"/>
      <c r="AF147" s="127"/>
      <c r="AG147" s="127"/>
      <c r="AN147" s="43"/>
      <c r="AO147" s="43"/>
      <c r="AP147" s="128"/>
      <c r="AQ147" s="107"/>
      <c r="AR147" s="107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7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7"/>
      <c r="CU147" s="11"/>
      <c r="CV147" s="11"/>
      <c r="CW147" s="11"/>
      <c r="CX147" s="11"/>
      <c r="CY147" s="11"/>
      <c r="CZ147" s="11"/>
      <c r="DA147" s="11"/>
    </row>
    <row r="148" spans="1:112" customFormat="1" ht="29.25" customHeight="1" x14ac:dyDescent="0.45">
      <c r="A148" s="12" t="s">
        <v>242</v>
      </c>
      <c r="B148" s="370" t="s">
        <v>171</v>
      </c>
      <c r="C148" s="370"/>
      <c r="D148" s="370"/>
      <c r="E148" s="370"/>
      <c r="F148" s="371" t="str">
        <f>I53</f>
        <v>Vyberte typ pavouka</v>
      </c>
      <c r="G148" s="372"/>
      <c r="H148" s="372"/>
      <c r="I148" s="373"/>
      <c r="J148" s="129"/>
      <c r="K148" s="129"/>
      <c r="L148" s="334" t="str">
        <f>IF(AND(I51="ANO",BT40=0),"",IF(AND(I51="ANO",BT38&lt;&gt;BT40),"Typ pavouka neodpovídá počtu odehraných skupin!",""))</f>
        <v/>
      </c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334"/>
      <c r="Z148" s="334"/>
      <c r="AA148" s="334"/>
      <c r="AB148" s="334"/>
      <c r="AC148" s="334"/>
      <c r="AD148" s="334"/>
      <c r="AE148" s="334"/>
      <c r="AF148" s="334"/>
      <c r="AG148" s="334"/>
      <c r="AH148" s="334"/>
      <c r="AI148" s="334"/>
      <c r="AN148" s="43"/>
      <c r="AO148" s="43"/>
      <c r="AP148" s="128"/>
      <c r="AQ148" s="107"/>
      <c r="AR148" s="107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7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7"/>
      <c r="CU148" s="11"/>
      <c r="CV148" s="11"/>
      <c r="CW148" s="11"/>
      <c r="CX148" s="11"/>
      <c r="CY148" s="11"/>
      <c r="CZ148" s="11"/>
      <c r="DA148" s="11"/>
    </row>
    <row r="149" spans="1:112" s="130" customFormat="1" x14ac:dyDescent="0.5">
      <c r="B149" s="131"/>
      <c r="C149" s="132"/>
      <c r="D149" s="132"/>
      <c r="E149" s="131"/>
      <c r="G149" s="125"/>
      <c r="H149" s="133"/>
      <c r="I149" s="133"/>
      <c r="J149" s="133"/>
      <c r="K149" s="133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N149" s="134"/>
      <c r="AO149" s="134"/>
      <c r="AP149" s="135"/>
      <c r="AQ149" s="136"/>
      <c r="AR149" s="136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36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36"/>
      <c r="CU149" s="137"/>
      <c r="CV149" s="137"/>
      <c r="CW149" s="137"/>
      <c r="CX149" s="137"/>
      <c r="CY149" s="137"/>
      <c r="CZ149" s="137"/>
      <c r="DA149" s="137"/>
    </row>
    <row r="150" spans="1:112" s="136" customFormat="1" ht="15.75" customHeight="1" thickBot="1" x14ac:dyDescent="0.55000000000000004">
      <c r="A150" s="130"/>
      <c r="B150" s="366" t="s">
        <v>224</v>
      </c>
      <c r="C150" s="366"/>
      <c r="D150" s="366"/>
      <c r="E150" s="366"/>
      <c r="F150" s="130"/>
      <c r="G150" s="125"/>
      <c r="H150" s="138"/>
      <c r="I150" s="131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3"/>
      <c r="AF150" s="133"/>
      <c r="AG150" s="133"/>
      <c r="AH150" s="150"/>
      <c r="AI150" s="150"/>
      <c r="AJ150" s="374" t="s">
        <v>225</v>
      </c>
      <c r="AK150" s="374"/>
      <c r="AL150" s="374"/>
      <c r="AM150" s="374"/>
      <c r="AN150" s="374"/>
      <c r="AO150" s="374"/>
      <c r="AP150" s="139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L150" s="130"/>
      <c r="CM150" s="130"/>
      <c r="CN150" s="130"/>
      <c r="CO150" s="130"/>
      <c r="CP150" s="130" t="s">
        <v>226</v>
      </c>
      <c r="CQ150" s="130"/>
      <c r="CR150" s="130"/>
      <c r="CS150" s="130"/>
      <c r="CT150" s="130"/>
      <c r="CU150" s="137"/>
      <c r="CV150" s="137"/>
      <c r="CW150" s="137"/>
      <c r="CX150" s="137"/>
      <c r="CY150" s="137"/>
      <c r="CZ150" s="137"/>
      <c r="DA150" s="137"/>
      <c r="DB150" s="130" t="s">
        <v>227</v>
      </c>
      <c r="DC150" s="140" t="s">
        <v>228</v>
      </c>
      <c r="DD150" s="140">
        <f>COUNTIF(AP151:AP160,"?")</f>
        <v>0</v>
      </c>
      <c r="DE150" s="130"/>
    </row>
    <row r="151" spans="1:112" s="136" customFormat="1" ht="16.5" customHeight="1" x14ac:dyDescent="0.5">
      <c r="A151" s="397" t="s">
        <v>229</v>
      </c>
      <c r="B151" s="391" t="str">
        <f>IF(AND(I55="ANO",BQ40=34),DB60,IF(AND(I55="ANO",BQ40=44),DB60,IF(AND(I55="ANO",BQ40=36),DB60,IF(AND(I55="ANO",BQ40=28),DB60,""))))</f>
        <v/>
      </c>
      <c r="C151" s="392"/>
      <c r="D151" s="392"/>
      <c r="E151" s="393"/>
      <c r="F151" s="398"/>
      <c r="G151" s="125"/>
      <c r="H151" s="141"/>
      <c r="I151" s="131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3"/>
      <c r="AF151" s="133"/>
      <c r="AG151" s="211"/>
      <c r="AH151" s="387" t="s">
        <v>154</v>
      </c>
      <c r="AI151" s="388"/>
      <c r="AJ151" s="391" t="str">
        <f>IF(AND(I55="ANO",(CV40+CV42+CV44)&gt;8,BQ40=33),DB62,IF(AND(I55="ANO",(CV40+CV42+CV44)&gt;8,BQ40=36),DB62,""))</f>
        <v/>
      </c>
      <c r="AK151" s="392"/>
      <c r="AL151" s="392"/>
      <c r="AM151" s="392"/>
      <c r="AN151" s="392"/>
      <c r="AO151" s="393"/>
      <c r="AP151" s="363" t="s">
        <v>199</v>
      </c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L151" s="130"/>
      <c r="CM151" s="130"/>
      <c r="CN151" s="130"/>
      <c r="CO151" s="130">
        <v>1</v>
      </c>
      <c r="CP151" s="140" t="str">
        <f>IF(ISBLANK(F151),"Prázdné","1")</f>
        <v>Prázdné</v>
      </c>
      <c r="CQ151" s="130"/>
      <c r="CR151" s="130"/>
      <c r="CS151" s="130"/>
      <c r="CT151" s="130"/>
      <c r="CU151" s="137"/>
      <c r="CV151" s="137"/>
      <c r="CW151" s="137"/>
      <c r="CX151" s="137"/>
      <c r="CY151" s="110" t="str">
        <f>AP151</f>
        <v>1.</v>
      </c>
      <c r="CZ151" s="110" t="str">
        <f>AJ151</f>
        <v/>
      </c>
      <c r="DB151" s="44" t="str">
        <f>VLOOKUP(DC151,$CY$151:$CZ$153,2,0)</f>
        <v/>
      </c>
      <c r="DC151" s="27" t="s">
        <v>199</v>
      </c>
      <c r="DD151" s="130"/>
      <c r="DE151" s="130"/>
      <c r="DF151" s="142">
        <f>COUNTIF(CY151:CY153,"1.")</f>
        <v>1</v>
      </c>
      <c r="DG151" s="142" t="str">
        <f>IF(DF151&gt;1,1,"")</f>
        <v/>
      </c>
    </row>
    <row r="152" spans="1:112" s="136" customFormat="1" ht="16.5" customHeight="1" thickBot="1" x14ac:dyDescent="0.55000000000000004">
      <c r="A152" s="397"/>
      <c r="B152" s="394"/>
      <c r="C152" s="395"/>
      <c r="D152" s="395"/>
      <c r="E152" s="396"/>
      <c r="F152" s="399"/>
      <c r="G152" s="143"/>
      <c r="H152" s="365" t="s">
        <v>224</v>
      </c>
      <c r="I152" s="366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3"/>
      <c r="AF152" s="133"/>
      <c r="AG152" s="211"/>
      <c r="AH152" s="389"/>
      <c r="AI152" s="390"/>
      <c r="AJ152" s="394"/>
      <c r="AK152" s="395"/>
      <c r="AL152" s="395"/>
      <c r="AM152" s="395"/>
      <c r="AN152" s="395"/>
      <c r="AO152" s="396"/>
      <c r="AP152" s="36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L152" s="130"/>
      <c r="CM152" s="130"/>
      <c r="CN152" s="130"/>
      <c r="CO152" s="130">
        <v>2</v>
      </c>
      <c r="CP152" s="140" t="str">
        <f>IF(ISBLANK(F155),"Prázdné","1")</f>
        <v>Prázdné</v>
      </c>
      <c r="CQ152" s="130"/>
      <c r="CR152" s="130"/>
      <c r="CS152" s="130"/>
      <c r="CT152" s="130"/>
      <c r="CU152" s="137"/>
      <c r="CV152" s="137"/>
      <c r="CW152" s="137"/>
      <c r="CX152" s="137"/>
      <c r="CY152" s="110" t="str">
        <f>AP155</f>
        <v>2.</v>
      </c>
      <c r="CZ152" s="110" t="str">
        <f>AJ155</f>
        <v/>
      </c>
      <c r="DB152" s="44" t="str">
        <f>VLOOKUP(DC152,$CY$151:$CZ$153,2,0)</f>
        <v/>
      </c>
      <c r="DC152" s="27" t="s">
        <v>202</v>
      </c>
      <c r="DD152" s="130"/>
      <c r="DE152" s="130"/>
      <c r="DF152" s="142">
        <f>COUNTIF(CY151:CY153,"2.")</f>
        <v>1</v>
      </c>
      <c r="DG152" s="142" t="str">
        <f>IF(DF152&gt;1,1,"")</f>
        <v/>
      </c>
    </row>
    <row r="153" spans="1:112" s="136" customFormat="1" ht="16.5" customHeight="1" x14ac:dyDescent="0.5">
      <c r="A153" s="130"/>
      <c r="B153" s="404"/>
      <c r="C153" s="404"/>
      <c r="D153" s="404"/>
      <c r="E153" s="404"/>
      <c r="F153" s="144"/>
      <c r="G153" s="145"/>
      <c r="H153" s="391" t="str">
        <f>IF(AND(I55="ANO",BQ40=61),DB60,IF(AND(I55="ANO",BQ40=32),DB60,IF(AND(I55="ANO",BQ40=42),DB60,IF(AND(I55="ANO",BQ40=33),DB60,IF(AND(I55="ANO",BQ40=24),DB60,IF(AND(I55="ANO",BQ40=34,F151&gt;F155),B151,IF(AND(I55="ANO",BQ40=34,F151&lt;F155),B155,IF(AND(I55="ANO",BQ40=34,B155=". . ."),B151,IF(AND(I55="ANO",BQ40=44,F151&gt;F155),B151,IF(AND(I55="ANO",BQ40=44,F151&lt;F155),B155,IF(AND(I55="ANO",BQ40=44,B155=". . ."),B151,IF(AND(I55="ANO",BQ40=36,F151&gt;F155),B151,IF(AND(I55="ANO",BQ40=36,F151&lt;F155),B155,IF(AND(I55="ANO",BQ40=36,B155=". . ."),B151,IF(AND(I55="ANO",BQ40=28,F151&gt;F155),B151,IF(AND(I55="ANO",BQ40=28,F151&lt;F155),B155,IF(AND(I55="ANO",BQ40=28,B155=". . ."),B151,"")))))))))))))))))</f>
        <v/>
      </c>
      <c r="I153" s="392"/>
      <c r="J153" s="408"/>
      <c r="K153" s="409"/>
      <c r="L153" s="409"/>
      <c r="M153" s="405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3"/>
      <c r="AF153" s="133"/>
      <c r="AG153" s="145"/>
      <c r="AH153" s="212"/>
      <c r="AI153" s="212"/>
      <c r="AJ153" s="407"/>
      <c r="AK153" s="407"/>
      <c r="AL153" s="407"/>
      <c r="AM153" s="407"/>
      <c r="AN153" s="407"/>
      <c r="AO153" s="407"/>
      <c r="AP153" s="135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L153" s="130"/>
      <c r="CM153" s="130"/>
      <c r="CN153" s="130"/>
      <c r="CO153" s="130">
        <v>3</v>
      </c>
      <c r="CP153" s="140" t="str">
        <f>IF(ISBLANK(F159),"Prázdné","1")</f>
        <v>Prázdné</v>
      </c>
      <c r="CQ153" s="130"/>
      <c r="CR153" s="130"/>
      <c r="CS153" s="130"/>
      <c r="CT153" s="130"/>
      <c r="CU153" s="137"/>
      <c r="CV153" s="137"/>
      <c r="CW153" s="137"/>
      <c r="CX153" s="137"/>
      <c r="CY153" s="110" t="str">
        <f>AP159</f>
        <v>3.</v>
      </c>
      <c r="CZ153" s="110" t="str">
        <f>AJ159</f>
        <v/>
      </c>
      <c r="DB153" s="44" t="str">
        <f>VLOOKUP(DC153,$CY$151:$CZ$153,2,0)</f>
        <v/>
      </c>
      <c r="DC153" s="27" t="s">
        <v>203</v>
      </c>
      <c r="DD153" s="130"/>
      <c r="DE153" s="130"/>
      <c r="DF153" s="142">
        <f>COUNTIF(CY151:CY153,"3.")</f>
        <v>1</v>
      </c>
      <c r="DG153" s="142" t="str">
        <f>IF(DF153&gt;1,1,"")</f>
        <v/>
      </c>
    </row>
    <row r="154" spans="1:112" s="136" customFormat="1" ht="16.5" customHeight="1" thickBot="1" x14ac:dyDescent="0.55000000000000004">
      <c r="A154" s="130"/>
      <c r="B154" s="130"/>
      <c r="C154" s="130"/>
      <c r="D154" s="130"/>
      <c r="E154" s="130"/>
      <c r="F154" s="130"/>
      <c r="G154" s="146"/>
      <c r="H154" s="394"/>
      <c r="I154" s="395"/>
      <c r="J154" s="410"/>
      <c r="K154" s="411"/>
      <c r="L154" s="411"/>
      <c r="M154" s="406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3"/>
      <c r="AF154" s="133"/>
      <c r="AG154" s="145"/>
      <c r="AH154" s="130"/>
      <c r="AI154" s="130"/>
      <c r="AJ154" s="130"/>
      <c r="AK154" s="130"/>
      <c r="AL154" s="130"/>
      <c r="AM154" s="130"/>
      <c r="AN154" s="134"/>
      <c r="AO154" s="134"/>
      <c r="AP154" s="135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L154" s="130"/>
      <c r="CM154" s="130"/>
      <c r="CN154" s="130"/>
      <c r="CO154" s="130">
        <v>4</v>
      </c>
      <c r="CP154" s="140" t="str">
        <f>IF(ISBLANK(F163),"Prázdné","1")</f>
        <v>Prázdné</v>
      </c>
      <c r="CQ154" s="130"/>
      <c r="CR154" s="130"/>
      <c r="CS154" s="130"/>
      <c r="CT154" s="130"/>
      <c r="CU154" s="137"/>
      <c r="CV154" s="137"/>
      <c r="CW154" s="137"/>
      <c r="CX154" s="137"/>
      <c r="CY154" s="137"/>
      <c r="CZ154" s="137"/>
      <c r="DA154" s="137"/>
      <c r="DB154" s="130"/>
      <c r="DC154" s="130"/>
      <c r="DD154" s="130"/>
      <c r="DE154" s="130"/>
      <c r="DG154" s="142">
        <f>COUNTIF(DG151:DG153,"&gt;0")</f>
        <v>0</v>
      </c>
      <c r="DH154" s="147" t="s">
        <v>230</v>
      </c>
    </row>
    <row r="155" spans="1:112" s="136" customFormat="1" ht="16.5" customHeight="1" x14ac:dyDescent="0.5">
      <c r="A155" s="375"/>
      <c r="B155" s="377" t="str">
        <f>IF(AND(I55="ANO",BQ40=34),". . .",IF(AND(I55="ANO",CV46&lt;4,BQ40=44),". . .",IF(AND(I55="ANO",CV46&gt;3,BQ40=44),DB96,IF(AND(I55="ANO",BQ40=36,DD155&gt;0),"2. z baráže  D, E, F",IF(AND(I55="ANO",BQ40=36),DB157,IF(AND(I55="ANO",BQ40=28),DB127,""))))))</f>
        <v/>
      </c>
      <c r="C155" s="378"/>
      <c r="D155" s="378"/>
      <c r="E155" s="379"/>
      <c r="F155" s="383"/>
      <c r="G155" s="148"/>
      <c r="H155" s="385"/>
      <c r="I155" s="386"/>
      <c r="J155" s="149"/>
      <c r="K155" s="149"/>
      <c r="L155" s="149"/>
      <c r="M155" s="214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30"/>
      <c r="AA155" s="130"/>
      <c r="AB155" s="130"/>
      <c r="AC155" s="130"/>
      <c r="AD155" s="130"/>
      <c r="AE155" s="133"/>
      <c r="AF155" s="133"/>
      <c r="AG155" s="211"/>
      <c r="AH155" s="387" t="s">
        <v>160</v>
      </c>
      <c r="AI155" s="388"/>
      <c r="AJ155" s="391" t="str">
        <f>IF(AND(I55="ANO",(CV40+CV42+CV44)&gt;8,BQ40=33),DB73,IF(AND(I55="ANO",(CV40+CV42+CV44)&gt;8,BQ40=36),DB73,""))</f>
        <v/>
      </c>
      <c r="AK155" s="392"/>
      <c r="AL155" s="392"/>
      <c r="AM155" s="392"/>
      <c r="AN155" s="392"/>
      <c r="AO155" s="393"/>
      <c r="AP155" s="363" t="s">
        <v>202</v>
      </c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L155" s="130"/>
      <c r="CM155" s="130"/>
      <c r="CN155" s="130"/>
      <c r="CO155" s="130">
        <v>5</v>
      </c>
      <c r="CP155" s="140" t="str">
        <f>IF(ISBLANK(F167),"Prázdné","1")</f>
        <v>Prázdné</v>
      </c>
      <c r="CQ155" s="130"/>
      <c r="CR155" s="130"/>
      <c r="CS155" s="130"/>
      <c r="CT155" s="130"/>
      <c r="CU155" s="137"/>
      <c r="CV155" s="137"/>
      <c r="CW155" s="137"/>
      <c r="CX155" s="137"/>
      <c r="CY155" s="137"/>
      <c r="CZ155" s="137"/>
      <c r="DA155" s="137"/>
      <c r="DB155" s="130" t="s">
        <v>231</v>
      </c>
      <c r="DC155" s="140" t="s">
        <v>228</v>
      </c>
      <c r="DD155" s="140">
        <f>COUNTIF(AP203:AP212,"?")</f>
        <v>0</v>
      </c>
      <c r="DE155" s="130"/>
    </row>
    <row r="156" spans="1:112" s="136" customFormat="1" ht="16.5" customHeight="1" thickBot="1" x14ac:dyDescent="0.55000000000000004">
      <c r="A156" s="376"/>
      <c r="B156" s="380"/>
      <c r="C156" s="381"/>
      <c r="D156" s="381"/>
      <c r="E156" s="382"/>
      <c r="F156" s="384"/>
      <c r="G156" s="400"/>
      <c r="H156" s="401"/>
      <c r="I156" s="149"/>
      <c r="J156" s="149"/>
      <c r="K156" s="149"/>
      <c r="L156" s="149"/>
      <c r="M156" s="215"/>
      <c r="N156" s="402" t="s">
        <v>224</v>
      </c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133"/>
      <c r="AF156" s="133"/>
      <c r="AG156" s="211"/>
      <c r="AH156" s="389"/>
      <c r="AI156" s="390"/>
      <c r="AJ156" s="394"/>
      <c r="AK156" s="395"/>
      <c r="AL156" s="395"/>
      <c r="AM156" s="395"/>
      <c r="AN156" s="395"/>
      <c r="AO156" s="396"/>
      <c r="AP156" s="36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L156" s="130"/>
      <c r="CM156" s="130"/>
      <c r="CN156" s="130"/>
      <c r="CO156" s="130">
        <v>6</v>
      </c>
      <c r="CP156" s="140" t="str">
        <f>IF(ISBLANK(F171),"Prázdné","1")</f>
        <v>Prázdné</v>
      </c>
      <c r="CQ156" s="130"/>
      <c r="CR156" s="130"/>
      <c r="CS156" s="130"/>
      <c r="CT156" s="130"/>
      <c r="CU156" s="137"/>
      <c r="CV156" s="137"/>
      <c r="CW156" s="137"/>
      <c r="CX156" s="137"/>
      <c r="CY156" s="110" t="str">
        <f>AP203</f>
        <v>3.</v>
      </c>
      <c r="CZ156" s="110" t="str">
        <f>AJ203</f>
        <v/>
      </c>
      <c r="DB156" s="44" t="str">
        <f>VLOOKUP(DC156,$CY$156:$CZ$158,2,0)</f>
        <v/>
      </c>
      <c r="DC156" s="27" t="s">
        <v>199</v>
      </c>
      <c r="DD156" s="130"/>
      <c r="DE156" s="130"/>
      <c r="DF156" s="142">
        <f>COUNTIF(CY156:CY158,"1.")</f>
        <v>1</v>
      </c>
      <c r="DG156" s="142" t="str">
        <f>IF(DF156&gt;1,1,"")</f>
        <v/>
      </c>
    </row>
    <row r="157" spans="1:112" s="136" customFormat="1" ht="16.5" customHeight="1" x14ac:dyDescent="0.5">
      <c r="A157" s="130"/>
      <c r="B157" s="404"/>
      <c r="C157" s="404"/>
      <c r="D157" s="404"/>
      <c r="E157" s="404"/>
      <c r="F157" s="149"/>
      <c r="G157" s="146"/>
      <c r="H157" s="149"/>
      <c r="I157" s="149"/>
      <c r="J157" s="149"/>
      <c r="K157" s="149"/>
      <c r="L157" s="149"/>
      <c r="M157" s="150"/>
      <c r="N157" s="391" t="str">
        <f>IF(AND(I55="ANO",BQ40=22),DB60,IF(J153&gt;J161,H153,IF(J153&lt;J161,H161,IF(H161=". . .",H153,""))))</f>
        <v/>
      </c>
      <c r="O157" s="392"/>
      <c r="P157" s="392"/>
      <c r="Q157" s="392"/>
      <c r="R157" s="392"/>
      <c r="S157" s="392"/>
      <c r="T157" s="392"/>
      <c r="U157" s="392"/>
      <c r="V157" s="392"/>
      <c r="W157" s="392"/>
      <c r="X157" s="392"/>
      <c r="Y157" s="392"/>
      <c r="Z157" s="392"/>
      <c r="AA157" s="392"/>
      <c r="AB157" s="392"/>
      <c r="AC157" s="392"/>
      <c r="AD157" s="393"/>
      <c r="AE157" s="405"/>
      <c r="AF157" s="133"/>
      <c r="AG157" s="145"/>
      <c r="AH157" s="212"/>
      <c r="AI157" s="212"/>
      <c r="AJ157" s="407"/>
      <c r="AK157" s="407"/>
      <c r="AL157" s="407"/>
      <c r="AM157" s="407"/>
      <c r="AN157" s="407"/>
      <c r="AO157" s="407"/>
      <c r="AP157" s="135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L157" s="130"/>
      <c r="CM157" s="130"/>
      <c r="CN157" s="130"/>
      <c r="CO157" s="130">
        <v>7</v>
      </c>
      <c r="CP157" s="140" t="str">
        <f>IF(ISBLANK(F175),"Prázdné","1")</f>
        <v>Prázdné</v>
      </c>
      <c r="CQ157" s="130"/>
      <c r="CR157" s="130"/>
      <c r="CS157" s="130"/>
      <c r="CT157" s="130"/>
      <c r="CU157" s="137"/>
      <c r="CV157" s="137"/>
      <c r="CW157" s="137"/>
      <c r="CX157" s="137"/>
      <c r="CY157" s="110" t="str">
        <f>AP207</f>
        <v>1.</v>
      </c>
      <c r="CZ157" s="110" t="str">
        <f>AJ207</f>
        <v/>
      </c>
      <c r="DB157" s="44" t="str">
        <f>VLOOKUP(DC157,$CY$156:$CZ$158,2,0)</f>
        <v/>
      </c>
      <c r="DC157" s="27" t="s">
        <v>202</v>
      </c>
      <c r="DD157" s="130"/>
      <c r="DE157" s="130"/>
      <c r="DF157" s="142">
        <f>COUNTIF(CY156:CY158,"2.")</f>
        <v>1</v>
      </c>
      <c r="DG157" s="142" t="str">
        <f>IF(DF157&gt;1,1,"")</f>
        <v/>
      </c>
    </row>
    <row r="158" spans="1:112" s="136" customFormat="1" ht="16.5" customHeight="1" thickBot="1" x14ac:dyDescent="0.55000000000000004">
      <c r="A158" s="130"/>
      <c r="B158" s="151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50"/>
      <c r="N158" s="394"/>
      <c r="O158" s="395"/>
      <c r="P158" s="395"/>
      <c r="Q158" s="395"/>
      <c r="R158" s="395"/>
      <c r="S158" s="395"/>
      <c r="T158" s="395"/>
      <c r="U158" s="395"/>
      <c r="V158" s="395"/>
      <c r="W158" s="395"/>
      <c r="X158" s="395"/>
      <c r="Y158" s="395"/>
      <c r="Z158" s="395"/>
      <c r="AA158" s="395"/>
      <c r="AB158" s="395"/>
      <c r="AC158" s="395"/>
      <c r="AD158" s="396"/>
      <c r="AE158" s="406"/>
      <c r="AF158" s="133"/>
      <c r="AG158" s="145"/>
      <c r="AH158" s="130"/>
      <c r="AI158" s="130"/>
      <c r="AJ158" s="130"/>
      <c r="AK158" s="130"/>
      <c r="AL158" s="130"/>
      <c r="AM158" s="130"/>
      <c r="AN158" s="134"/>
      <c r="AO158" s="134"/>
      <c r="AP158" s="135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L158" s="130"/>
      <c r="CM158" s="130"/>
      <c r="CN158" s="130"/>
      <c r="CO158" s="130">
        <v>8</v>
      </c>
      <c r="CP158" s="140" t="str">
        <f>IF(ISBLANK(F179),"Prázdné","1")</f>
        <v>Prázdné</v>
      </c>
      <c r="CQ158" s="130"/>
      <c r="CR158" s="130"/>
      <c r="CS158" s="130"/>
      <c r="CT158" s="130"/>
      <c r="CU158" s="137"/>
      <c r="CV158" s="137"/>
      <c r="CW158" s="137"/>
      <c r="CX158" s="137"/>
      <c r="CY158" s="110" t="str">
        <f>AP211</f>
        <v>2.</v>
      </c>
      <c r="CZ158" s="110" t="str">
        <f>AJ211</f>
        <v/>
      </c>
      <c r="DB158" s="44" t="str">
        <f>VLOOKUP(DC158,$CY$156:$CZ$158,2,0)</f>
        <v/>
      </c>
      <c r="DC158" s="27" t="s">
        <v>203</v>
      </c>
      <c r="DD158" s="130"/>
      <c r="DE158" s="130"/>
      <c r="DF158" s="142">
        <f>COUNTIF(CY156:CY158,"3.")</f>
        <v>1</v>
      </c>
      <c r="DG158" s="142" t="str">
        <f>IF(DF158&gt;1,1,"")</f>
        <v/>
      </c>
    </row>
    <row r="159" spans="1:112" s="136" customFormat="1" ht="16.5" customHeight="1" x14ac:dyDescent="0.5">
      <c r="A159" s="397"/>
      <c r="B159" s="414" t="str">
        <f>IF(AND(I55="ANO",BQ40=34),DB72,IF(AND(I55="ANO",BQ40=44),DB72,IF(AND(I55="ANO",BQ40=36),DB116,IF(AND(I55="ANO",BQ40=28),DB72,""))))</f>
        <v/>
      </c>
      <c r="C159" s="415"/>
      <c r="D159" s="415"/>
      <c r="E159" s="416"/>
      <c r="F159" s="398"/>
      <c r="G159" s="152"/>
      <c r="H159" s="138"/>
      <c r="I159" s="131"/>
      <c r="J159" s="149"/>
      <c r="K159" s="149"/>
      <c r="L159" s="149"/>
      <c r="M159" s="213"/>
      <c r="N159" s="385"/>
      <c r="O159" s="386"/>
      <c r="P159" s="386"/>
      <c r="Q159" s="386"/>
      <c r="R159" s="386"/>
      <c r="S159" s="386"/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E159" s="145"/>
      <c r="AF159" s="133"/>
      <c r="AG159" s="211"/>
      <c r="AH159" s="387" t="s">
        <v>163</v>
      </c>
      <c r="AI159" s="388"/>
      <c r="AJ159" s="391" t="str">
        <f>IF(AND(I55="ANO",(CV40+CV42+CV44)&gt;8,BQ40=33),DB84,IF(AND(I55="ANO",(CV40+CV42+CV44)&gt;8,BQ40=36),DB84,""))</f>
        <v/>
      </c>
      <c r="AK159" s="392"/>
      <c r="AL159" s="392"/>
      <c r="AM159" s="392"/>
      <c r="AN159" s="392"/>
      <c r="AO159" s="393"/>
      <c r="AP159" s="363" t="s">
        <v>203</v>
      </c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L159" s="130"/>
      <c r="CM159" s="130"/>
      <c r="CN159" s="130"/>
      <c r="CO159" s="130">
        <v>9</v>
      </c>
      <c r="CP159" s="140" t="str">
        <f>IF(ISBLANK(F183),"Prázdné","1")</f>
        <v>Prázdné</v>
      </c>
      <c r="CQ159" s="130"/>
      <c r="CR159" s="130"/>
      <c r="CS159" s="130"/>
      <c r="CT159" s="130"/>
      <c r="CU159" s="137"/>
      <c r="CV159" s="137"/>
      <c r="CW159" s="137"/>
      <c r="CX159" s="137"/>
      <c r="CY159" s="137"/>
      <c r="CZ159" s="137"/>
      <c r="DA159" s="137"/>
      <c r="DB159" s="130"/>
      <c r="DC159" s="130"/>
      <c r="DD159" s="130"/>
      <c r="DE159" s="130"/>
      <c r="DG159" s="142">
        <f>COUNTIF(DG156:DG158,"&gt;0")</f>
        <v>0</v>
      </c>
      <c r="DH159" s="147" t="s">
        <v>232</v>
      </c>
    </row>
    <row r="160" spans="1:112" s="136" customFormat="1" ht="16.5" customHeight="1" thickBot="1" x14ac:dyDescent="0.55000000000000004">
      <c r="A160" s="397"/>
      <c r="B160" s="417"/>
      <c r="C160" s="418"/>
      <c r="D160" s="418"/>
      <c r="E160" s="419"/>
      <c r="F160" s="399"/>
      <c r="G160" s="143"/>
      <c r="H160" s="138"/>
      <c r="I160" s="131"/>
      <c r="J160" s="149"/>
      <c r="K160" s="149"/>
      <c r="L160" s="149"/>
      <c r="M160" s="217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30"/>
      <c r="AA160" s="130"/>
      <c r="AB160" s="130"/>
      <c r="AC160" s="130"/>
      <c r="AD160" s="130"/>
      <c r="AE160" s="145"/>
      <c r="AF160" s="133"/>
      <c r="AG160" s="211"/>
      <c r="AH160" s="389"/>
      <c r="AI160" s="390"/>
      <c r="AJ160" s="394"/>
      <c r="AK160" s="395"/>
      <c r="AL160" s="395"/>
      <c r="AM160" s="395"/>
      <c r="AN160" s="395"/>
      <c r="AO160" s="396"/>
      <c r="AP160" s="36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L160" s="130"/>
      <c r="CM160" s="130"/>
      <c r="CN160" s="130"/>
      <c r="CO160" s="130">
        <v>10</v>
      </c>
      <c r="CP160" s="140" t="str">
        <f>IF(ISBLANK(F187),"Prázdné","1")</f>
        <v>Prázdné</v>
      </c>
      <c r="CQ160" s="130"/>
      <c r="CR160" s="130"/>
      <c r="CS160" s="130"/>
      <c r="CT160" s="130"/>
      <c r="CU160" s="137"/>
      <c r="CV160" s="137"/>
      <c r="CW160" s="137"/>
      <c r="CX160" s="137"/>
      <c r="CY160" s="137"/>
      <c r="CZ160" s="137"/>
      <c r="DA160" s="137"/>
      <c r="DB160" s="130"/>
      <c r="DC160" s="130"/>
      <c r="DD160" s="130"/>
      <c r="DE160" s="130"/>
    </row>
    <row r="161" spans="1:109" s="136" customFormat="1" ht="16.5" customHeight="1" x14ac:dyDescent="0.5">
      <c r="A161" s="130"/>
      <c r="B161" s="404"/>
      <c r="C161" s="404"/>
      <c r="D161" s="404"/>
      <c r="E161" s="404"/>
      <c r="F161" s="144"/>
      <c r="G161" s="153"/>
      <c r="H161" s="391" t="str">
        <f>IF(AND(I55="ANO",BQ40=61),". . .",IF(AND(I55="ANO",BQ40=32),". . .",IF(AND(I55="ANO",CV42&lt;4,BQ40=42),". . .",IF(AND(I55="ANO",CV42&gt;3,BQ40=42),DB74,IF(AND(I55="ANO",BQ40=33,DD150&gt;0),"2. z baráže",IF(AND(I55="ANO",BQ40=33),DB152,IF(AND(I55="ANO",BQ40=24),DB72,IF(AND(I55="ANO",BQ40=34,F159&gt;F163),B159,IF(AND(I55="ANO",BQ40=34,F159&lt;F163),B163,IF(AND(I55="ANO",BQ40=44,F159&gt;F163),B159,IF(AND(I55="ANO",BQ40=44,F159&lt;F163),B163,IF(AND(I55="ANO",BQ40=36,F159&gt;F163),B159,IF(AND(I55="ANO",BQ40=36,F159&lt;F163),B163,IF(AND(I55="ANO",BQ40=28,F159&gt;F163),B159,IF(AND(I55="ANO",BQ40=28,F159&lt;F163),B163,"")))))))))))))))</f>
        <v/>
      </c>
      <c r="I161" s="392"/>
      <c r="J161" s="408"/>
      <c r="K161" s="409"/>
      <c r="L161" s="409"/>
      <c r="M161" s="405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30"/>
      <c r="AA161" s="130"/>
      <c r="AB161" s="130"/>
      <c r="AC161" s="130"/>
      <c r="AD161" s="130"/>
      <c r="AE161" s="145"/>
      <c r="AF161" s="133"/>
      <c r="AG161" s="133"/>
      <c r="AH161" s="212"/>
      <c r="AI161" s="212"/>
      <c r="AJ161" s="407"/>
      <c r="AK161" s="407"/>
      <c r="AL161" s="407"/>
      <c r="AM161" s="407"/>
      <c r="AN161" s="407"/>
      <c r="AO161" s="407"/>
      <c r="AP161" s="135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L161" s="130"/>
      <c r="CM161" s="130"/>
      <c r="CN161" s="130"/>
      <c r="CO161" s="130">
        <v>11</v>
      </c>
      <c r="CP161" s="140" t="str">
        <f>IF(ISBLANK(F191),"Prázdné","1")</f>
        <v>Prázdné</v>
      </c>
      <c r="CQ161" s="130"/>
      <c r="CR161" s="130"/>
      <c r="CS161" s="130"/>
      <c r="CT161" s="130"/>
      <c r="CU161" s="137"/>
      <c r="CV161" s="137"/>
      <c r="CW161" s="137"/>
      <c r="CX161" s="137"/>
      <c r="CY161" s="137"/>
      <c r="CZ161" s="137"/>
      <c r="DA161" s="137"/>
      <c r="DB161" s="130"/>
      <c r="DC161" s="130"/>
      <c r="DD161" s="130"/>
      <c r="DE161" s="130"/>
    </row>
    <row r="162" spans="1:109" s="136" customFormat="1" ht="16.5" customHeight="1" thickBot="1" x14ac:dyDescent="0.55000000000000004">
      <c r="A162" s="130"/>
      <c r="B162" s="130"/>
      <c r="C162" s="130"/>
      <c r="D162" s="130"/>
      <c r="E162" s="130"/>
      <c r="F162" s="130"/>
      <c r="G162" s="146"/>
      <c r="H162" s="394"/>
      <c r="I162" s="395"/>
      <c r="J162" s="410"/>
      <c r="K162" s="411"/>
      <c r="L162" s="411"/>
      <c r="M162" s="406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30"/>
      <c r="AA162" s="130"/>
      <c r="AB162" s="130"/>
      <c r="AC162" s="130"/>
      <c r="AD162" s="130"/>
      <c r="AE162" s="145"/>
      <c r="AF162" s="133"/>
      <c r="AG162" s="133"/>
      <c r="AH162" s="130"/>
      <c r="AI162" s="130"/>
      <c r="AJ162" s="130"/>
      <c r="AK162" s="130"/>
      <c r="AL162" s="130"/>
      <c r="AM162" s="130"/>
      <c r="AN162" s="134"/>
      <c r="AO162" s="134"/>
      <c r="AP162" s="135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L162" s="130"/>
      <c r="CM162" s="130"/>
      <c r="CN162" s="130"/>
      <c r="CO162" s="130">
        <v>12</v>
      </c>
      <c r="CP162" s="140" t="str">
        <f>IF(ISBLANK(F195),"Prázdné","1")</f>
        <v>Prázdné</v>
      </c>
      <c r="CQ162" s="130"/>
      <c r="CR162" s="130"/>
      <c r="CS162" s="130"/>
      <c r="CT162" s="130"/>
      <c r="CU162" s="137"/>
      <c r="CV162" s="137"/>
      <c r="CW162" s="137"/>
      <c r="CX162" s="137"/>
      <c r="CY162" s="137"/>
      <c r="CZ162" s="137"/>
      <c r="DA162" s="137"/>
      <c r="DB162" s="130"/>
      <c r="DC162" s="130"/>
      <c r="DD162" s="130"/>
      <c r="DE162" s="130"/>
    </row>
    <row r="163" spans="1:109" s="136" customFormat="1" ht="16.5" customHeight="1" x14ac:dyDescent="0.5">
      <c r="A163" s="375"/>
      <c r="B163" s="377" t="str">
        <f>IF(AND(I55="ANO",BQ40=34),DB84,IF(AND(I55="ANO",BQ40=44),DB84,IF(AND(I55="ANO",BQ40=36),DB72,IF(AND(I55="ANO",BQ40=28),DB137,""))))</f>
        <v/>
      </c>
      <c r="C163" s="378"/>
      <c r="D163" s="378"/>
      <c r="E163" s="379"/>
      <c r="F163" s="383"/>
      <c r="G163" s="148"/>
      <c r="H163" s="385"/>
      <c r="I163" s="386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30"/>
      <c r="AA163" s="130"/>
      <c r="AB163" s="130"/>
      <c r="AC163" s="130"/>
      <c r="AD163" s="130"/>
      <c r="AE163" s="145"/>
      <c r="AF163" s="133"/>
      <c r="AG163" s="133"/>
      <c r="AH163" s="130"/>
      <c r="AI163" s="130"/>
      <c r="AJ163" s="130"/>
      <c r="AK163" s="130"/>
      <c r="AL163" s="130"/>
      <c r="AM163" s="130"/>
      <c r="AN163" s="134"/>
      <c r="AO163" s="134"/>
      <c r="AP163" s="135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L163" s="130"/>
      <c r="CM163" s="130"/>
      <c r="CN163" s="130"/>
      <c r="CO163" s="130">
        <v>13</v>
      </c>
      <c r="CP163" s="140" t="str">
        <f>IF(ISBLANK(F199),"Prázdné","1")</f>
        <v>Prázdné</v>
      </c>
      <c r="CQ163" s="130"/>
      <c r="CR163" s="130"/>
      <c r="CS163" s="130"/>
      <c r="CT163" s="130"/>
      <c r="CU163" s="137"/>
      <c r="CV163" s="137"/>
      <c r="CW163" s="137"/>
      <c r="CX163" s="137"/>
      <c r="CY163" s="137"/>
      <c r="CZ163" s="137"/>
      <c r="DA163" s="137"/>
      <c r="DB163" s="130"/>
      <c r="DC163" s="130"/>
      <c r="DD163" s="130"/>
      <c r="DE163" s="130"/>
    </row>
    <row r="164" spans="1:109" s="136" customFormat="1" ht="16.5" customHeight="1" thickBot="1" x14ac:dyDescent="0.55000000000000004">
      <c r="A164" s="376"/>
      <c r="B164" s="380"/>
      <c r="C164" s="381"/>
      <c r="D164" s="381"/>
      <c r="E164" s="382"/>
      <c r="F164" s="384"/>
      <c r="G164" s="154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30"/>
      <c r="AA164" s="130"/>
      <c r="AB164" s="130"/>
      <c r="AC164" s="130"/>
      <c r="AD164" s="130"/>
      <c r="AE164" s="145"/>
      <c r="AF164" s="365" t="s">
        <v>233</v>
      </c>
      <c r="AG164" s="366"/>
      <c r="AH164" s="366"/>
      <c r="AI164" s="366"/>
      <c r="AJ164" s="366"/>
      <c r="AK164" s="366"/>
      <c r="AL164" s="366"/>
      <c r="AM164" s="130"/>
      <c r="AN164" s="134"/>
      <c r="AO164" s="13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L164" s="130"/>
      <c r="CM164" s="130"/>
      <c r="CN164" s="130"/>
      <c r="CO164" s="130">
        <v>14</v>
      </c>
      <c r="CP164" s="140" t="str">
        <f>IF(ISBLANK(F203),"Prázdné","1")</f>
        <v>Prázdné</v>
      </c>
      <c r="CQ164" s="130"/>
      <c r="CR164" s="130"/>
      <c r="CS164" s="130"/>
      <c r="CT164" s="130"/>
      <c r="CU164" s="137"/>
      <c r="CV164" s="137"/>
      <c r="CW164" s="137"/>
      <c r="CX164" s="137"/>
      <c r="CY164" s="137"/>
      <c r="CZ164" s="137"/>
      <c r="DA164" s="137"/>
      <c r="DB164" s="130"/>
      <c r="DC164" s="130"/>
      <c r="DD164" s="130"/>
      <c r="DE164" s="130"/>
    </row>
    <row r="165" spans="1:109" s="130" customFormat="1" ht="16.5" customHeight="1" x14ac:dyDescent="0.5">
      <c r="B165" s="404"/>
      <c r="C165" s="404"/>
      <c r="D165" s="404"/>
      <c r="E165" s="404"/>
      <c r="F165" s="144"/>
      <c r="G165" s="144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AE165" s="133"/>
      <c r="AF165" s="391" t="str">
        <f>IF(AE157&gt;AE173,N157,IF(AE157&lt;AE173,N173,""))</f>
        <v/>
      </c>
      <c r="AG165" s="392"/>
      <c r="AH165" s="392"/>
      <c r="AI165" s="392"/>
      <c r="AJ165" s="392"/>
      <c r="AK165" s="392"/>
      <c r="AL165" s="393"/>
      <c r="AM165" s="412"/>
      <c r="AN165" s="134"/>
      <c r="AO165" s="134"/>
      <c r="AP165" s="135"/>
      <c r="AQ165" s="136"/>
      <c r="AR165" s="136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36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36"/>
      <c r="CO165" s="130">
        <v>15</v>
      </c>
      <c r="CP165" s="140" t="str">
        <f>IF(ISBLANK(F207),"Prázdné","1")</f>
        <v>Prázdné</v>
      </c>
      <c r="CU165" s="137"/>
      <c r="CV165" s="137"/>
      <c r="CW165" s="137"/>
      <c r="CX165" s="137"/>
      <c r="CY165" s="137"/>
      <c r="CZ165" s="137"/>
      <c r="DA165" s="137"/>
    </row>
    <row r="166" spans="1:109" s="130" customFormat="1" ht="16.5" customHeight="1" thickBot="1" x14ac:dyDescent="0.55000000000000004"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AE166" s="133"/>
      <c r="AF166" s="394"/>
      <c r="AG166" s="395"/>
      <c r="AH166" s="395"/>
      <c r="AI166" s="395"/>
      <c r="AJ166" s="395"/>
      <c r="AK166" s="395"/>
      <c r="AL166" s="396"/>
      <c r="AM166" s="413"/>
      <c r="AN166" s="134"/>
      <c r="AO166" s="134"/>
      <c r="AP166" s="135"/>
      <c r="AQ166" s="136"/>
      <c r="AR166" s="136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36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36"/>
      <c r="CO166" s="130">
        <v>16</v>
      </c>
      <c r="CP166" s="140" t="str">
        <f>IF(ISBLANK(F211),"Prázdné","1")</f>
        <v>Prázdné</v>
      </c>
      <c r="CU166" s="137"/>
      <c r="CV166" s="137"/>
      <c r="CW166" s="137"/>
      <c r="CX166" s="137"/>
      <c r="CY166" s="137"/>
      <c r="CZ166" s="137"/>
      <c r="DA166" s="137"/>
    </row>
    <row r="167" spans="1:109" s="130" customFormat="1" ht="16.5" customHeight="1" x14ac:dyDescent="0.5">
      <c r="A167" s="375"/>
      <c r="B167" s="414" t="str">
        <f>IF(AND(I55="ANO",BQ40=34),DB73,IF(AND(I55="ANO",BQ40=44),DB73,IF(AND(I55="ANO",BQ40=36),DB82,IF(AND(I55="ANO",BQ40=28),DB104,""))))</f>
        <v/>
      </c>
      <c r="C167" s="415"/>
      <c r="D167" s="415"/>
      <c r="E167" s="416"/>
      <c r="F167" s="398"/>
      <c r="G167" s="152"/>
      <c r="H167" s="138"/>
      <c r="I167" s="131"/>
      <c r="AE167" s="145"/>
      <c r="AF167" s="420"/>
      <c r="AG167" s="404"/>
      <c r="AH167" s="404"/>
      <c r="AI167" s="404"/>
      <c r="AJ167" s="404"/>
      <c r="AK167" s="404"/>
      <c r="AL167" s="404"/>
      <c r="AM167" s="155"/>
      <c r="AN167" s="134"/>
      <c r="AO167" s="134"/>
      <c r="AP167" s="135"/>
      <c r="AQ167" s="136"/>
      <c r="AR167" s="136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36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36"/>
      <c r="CU167" s="137"/>
      <c r="CV167" s="137"/>
      <c r="CW167" s="137"/>
      <c r="CX167" s="137"/>
      <c r="CY167" s="137"/>
      <c r="CZ167" s="137"/>
      <c r="DA167" s="137"/>
    </row>
    <row r="168" spans="1:109" s="130" customFormat="1" ht="16.5" customHeight="1" thickBot="1" x14ac:dyDescent="0.55000000000000004">
      <c r="A168" s="376"/>
      <c r="B168" s="417"/>
      <c r="C168" s="418"/>
      <c r="D168" s="418"/>
      <c r="E168" s="419"/>
      <c r="F168" s="399"/>
      <c r="G168" s="143"/>
      <c r="H168" s="138"/>
      <c r="I168" s="131"/>
      <c r="AE168" s="145"/>
      <c r="AF168" s="133"/>
      <c r="AG168" s="133"/>
      <c r="AM168" s="155"/>
      <c r="AN168" s="134"/>
      <c r="AO168" s="134"/>
      <c r="AP168" s="135"/>
      <c r="AQ168" s="136"/>
      <c r="AR168" s="136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36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36"/>
      <c r="CP168" s="130" t="s">
        <v>234</v>
      </c>
      <c r="CU168" s="137"/>
      <c r="CV168" s="137"/>
      <c r="CW168" s="137"/>
      <c r="CX168" s="137"/>
      <c r="CY168" s="137"/>
      <c r="CZ168" s="137"/>
      <c r="DA168" s="137"/>
    </row>
    <row r="169" spans="1:109" s="130" customFormat="1" ht="16.5" customHeight="1" x14ac:dyDescent="0.5">
      <c r="B169" s="404"/>
      <c r="C169" s="404"/>
      <c r="D169" s="404"/>
      <c r="E169" s="404"/>
      <c r="F169" s="144"/>
      <c r="G169" s="145"/>
      <c r="H169" s="391" t="str">
        <f>IF(AND(I55="ANO",BQ40=61),DB63,IF(AND(I55="ANO",BQ40=32),DB62,IF(AND(I55="ANO",BQ40=42),DB62,IF(AND(I55="ANO",BQ40=33),DB83,IF(AND(I55="ANO",BQ40=24),DB83,IF(AND(I55="ANO",BQ40=34,F167&gt;F171),B167,IF(AND(I55="ANO",BQ40=34,F167&lt;F171),B171,IF(AND(I55="ANO",BQ40=44,F167&gt;F171),B167,IF(AND(I55="ANO",BQ40=44,F167&lt;F171),B171,IF(AND(I55="ANO",BQ40=36,F167&gt;F171),B167,IF(AND(I55="ANO",BQ40=36,F167&lt;F171),B171,IF(AND(I55="ANO",BQ40=28,F167&gt;F171),B167,IF(AND(I55="ANO",BQ40=28,F167&lt;F171),B171,"")))))))))))))</f>
        <v/>
      </c>
      <c r="I169" s="392"/>
      <c r="J169" s="408"/>
      <c r="K169" s="409"/>
      <c r="L169" s="409"/>
      <c r="M169" s="405"/>
      <c r="AE169" s="145"/>
      <c r="AF169" s="133"/>
      <c r="AG169" s="133"/>
      <c r="AM169" s="155"/>
      <c r="AN169" s="134"/>
      <c r="AO169" s="134"/>
      <c r="AP169" s="135"/>
      <c r="AQ169" s="136"/>
      <c r="AR169" s="136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36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36"/>
      <c r="CO169" s="130">
        <v>1</v>
      </c>
      <c r="CP169" s="140" t="str">
        <f>IF(ISBLANK(J153),"Prázdné","1")</f>
        <v>Prázdné</v>
      </c>
      <c r="CU169" s="137"/>
      <c r="CV169" s="137"/>
      <c r="CW169" s="137"/>
      <c r="CX169" s="137"/>
      <c r="CY169" s="137"/>
      <c r="CZ169" s="137"/>
      <c r="DA169" s="137"/>
    </row>
    <row r="170" spans="1:109" s="130" customFormat="1" ht="16.5" customHeight="1" thickBot="1" x14ac:dyDescent="0.55000000000000004">
      <c r="G170" s="146"/>
      <c r="H170" s="394"/>
      <c r="I170" s="395"/>
      <c r="J170" s="410"/>
      <c r="K170" s="411"/>
      <c r="L170" s="411"/>
      <c r="M170" s="406"/>
      <c r="AE170" s="145"/>
      <c r="AF170" s="133"/>
      <c r="AG170" s="133"/>
      <c r="AM170" s="155"/>
      <c r="AN170" s="134"/>
      <c r="AO170" s="134"/>
      <c r="AP170" s="135"/>
      <c r="AQ170" s="136"/>
      <c r="AR170" s="136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36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36"/>
      <c r="CO170" s="130">
        <v>2</v>
      </c>
      <c r="CP170" s="140" t="str">
        <f>IF(ISBLANK(J161),"Prázdné","1")</f>
        <v>Prázdné</v>
      </c>
      <c r="CU170" s="137"/>
      <c r="CV170" s="137"/>
      <c r="CW170" s="137"/>
      <c r="CX170" s="137"/>
      <c r="CY170" s="137"/>
      <c r="CZ170" s="137"/>
      <c r="DA170" s="137"/>
    </row>
    <row r="171" spans="1:109" s="130" customFormat="1" ht="16.5" customHeight="1" x14ac:dyDescent="0.5">
      <c r="A171" s="397"/>
      <c r="B171" s="377" t="str">
        <f>IF(AND(I55="ANO",BQ40=34),DB83,IF(AND(I55="ANO",BQ40=44),DB83,IF(AND(I55="ANO",BQ40=36),DB94,IF(AND(I55="ANO",BQ40=28),DB83,""))))</f>
        <v/>
      </c>
      <c r="C171" s="378"/>
      <c r="D171" s="378"/>
      <c r="E171" s="379"/>
      <c r="F171" s="383"/>
      <c r="G171" s="148"/>
      <c r="H171" s="385"/>
      <c r="I171" s="386"/>
      <c r="J171" s="149"/>
      <c r="K171" s="149"/>
      <c r="L171" s="156"/>
      <c r="M171" s="214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AE171" s="145"/>
      <c r="AF171" s="133"/>
      <c r="AG171" s="133"/>
      <c r="AM171" s="155"/>
      <c r="AN171" s="134"/>
      <c r="AO171" s="134"/>
      <c r="AP171" s="135"/>
      <c r="AQ171" s="136"/>
      <c r="AR171" s="136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36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36"/>
      <c r="CO171" s="130">
        <v>3</v>
      </c>
      <c r="CP171" s="140" t="str">
        <f>IF(ISBLANK(J169),"Prázdné","1")</f>
        <v>Prázdné</v>
      </c>
      <c r="CU171" s="137"/>
      <c r="CV171" s="137"/>
      <c r="CW171" s="137"/>
      <c r="CX171" s="137"/>
      <c r="CY171" s="137"/>
      <c r="CZ171" s="137"/>
      <c r="DA171" s="137"/>
    </row>
    <row r="172" spans="1:109" s="130" customFormat="1" ht="16.5" customHeight="1" thickBot="1" x14ac:dyDescent="0.55000000000000004">
      <c r="A172" s="397"/>
      <c r="B172" s="380"/>
      <c r="C172" s="381"/>
      <c r="D172" s="381"/>
      <c r="E172" s="382"/>
      <c r="F172" s="384"/>
      <c r="G172" s="154"/>
      <c r="H172" s="149"/>
      <c r="I172" s="149"/>
      <c r="J172" s="149"/>
      <c r="K172" s="149"/>
      <c r="L172" s="149"/>
      <c r="M172" s="215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AE172" s="145"/>
      <c r="AF172" s="133"/>
      <c r="AG172" s="133"/>
      <c r="AM172" s="155"/>
      <c r="AN172" s="134"/>
      <c r="AO172" s="134"/>
      <c r="AP172" s="135"/>
      <c r="AQ172" s="136"/>
      <c r="AR172" s="136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36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36"/>
      <c r="CO172" s="130">
        <v>4</v>
      </c>
      <c r="CP172" s="140" t="str">
        <f>IF(ISBLANK(J177),"Prázdné","1")</f>
        <v>Prázdné</v>
      </c>
      <c r="CU172" s="137"/>
      <c r="CV172" s="137"/>
      <c r="CW172" s="137"/>
      <c r="CX172" s="137"/>
      <c r="CY172" s="137"/>
      <c r="CZ172" s="137"/>
      <c r="DA172" s="137"/>
    </row>
    <row r="173" spans="1:109" s="130" customFormat="1" ht="16.5" customHeight="1" x14ac:dyDescent="0.5">
      <c r="B173" s="404"/>
      <c r="C173" s="404"/>
      <c r="D173" s="404"/>
      <c r="E173" s="404"/>
      <c r="F173" s="144"/>
      <c r="G173" s="144"/>
      <c r="H173" s="149"/>
      <c r="I173" s="149"/>
      <c r="J173" s="149"/>
      <c r="K173" s="149"/>
      <c r="L173" s="149"/>
      <c r="M173" s="216"/>
      <c r="N173" s="391" t="str">
        <f>IF(AND(I55="ANO",BQ40=22),DB72,IF(J169&gt;J177,H169,IF(J169&lt;J177,H177,IF(H177=". . .",H169,""))))</f>
        <v/>
      </c>
      <c r="O173" s="392"/>
      <c r="P173" s="392"/>
      <c r="Q173" s="392"/>
      <c r="R173" s="392"/>
      <c r="S173" s="392"/>
      <c r="T173" s="392"/>
      <c r="U173" s="392"/>
      <c r="V173" s="392"/>
      <c r="W173" s="392"/>
      <c r="X173" s="392"/>
      <c r="Y173" s="392"/>
      <c r="Z173" s="392"/>
      <c r="AA173" s="392"/>
      <c r="AB173" s="392"/>
      <c r="AC173" s="392"/>
      <c r="AD173" s="393"/>
      <c r="AE173" s="405"/>
      <c r="AF173" s="133"/>
      <c r="AG173" s="133"/>
      <c r="AM173" s="155"/>
      <c r="AN173" s="134"/>
      <c r="AO173" s="134"/>
      <c r="AP173" s="135"/>
      <c r="AQ173" s="136"/>
      <c r="AR173" s="136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36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36"/>
      <c r="CO173" s="130">
        <v>5</v>
      </c>
      <c r="CP173" s="140" t="str">
        <f>IF(ISBLANK(J185),"Prázdné","1")</f>
        <v>Prázdné</v>
      </c>
      <c r="CU173" s="137"/>
      <c r="CV173" s="137"/>
      <c r="CW173" s="137"/>
      <c r="CX173" s="137"/>
      <c r="CY173" s="137"/>
      <c r="CZ173" s="137"/>
      <c r="DA173" s="137"/>
    </row>
    <row r="174" spans="1:109" s="130" customFormat="1" ht="16.5" customHeight="1" thickBot="1" x14ac:dyDescent="0.55000000000000004"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216"/>
      <c r="N174" s="394"/>
      <c r="O174" s="395"/>
      <c r="P174" s="395"/>
      <c r="Q174" s="395"/>
      <c r="R174" s="395"/>
      <c r="S174" s="395"/>
      <c r="T174" s="395"/>
      <c r="U174" s="395"/>
      <c r="V174" s="395"/>
      <c r="W174" s="395"/>
      <c r="X174" s="395"/>
      <c r="Y174" s="395"/>
      <c r="Z174" s="395"/>
      <c r="AA174" s="395"/>
      <c r="AB174" s="395"/>
      <c r="AC174" s="395"/>
      <c r="AD174" s="396"/>
      <c r="AE174" s="406"/>
      <c r="AF174" s="133"/>
      <c r="AG174" s="133"/>
      <c r="AM174" s="155"/>
      <c r="AN174" s="134"/>
      <c r="AO174" s="134"/>
      <c r="AP174" s="135"/>
      <c r="AQ174" s="136"/>
      <c r="AR174" s="136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36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36"/>
      <c r="CO174" s="130">
        <v>6</v>
      </c>
      <c r="CP174" s="140" t="str">
        <f>IF(ISBLANK(J193),"Prázdné","1")</f>
        <v>Prázdné</v>
      </c>
      <c r="CU174" s="137"/>
      <c r="CV174" s="137"/>
      <c r="CW174" s="137"/>
      <c r="CX174" s="137"/>
      <c r="CY174" s="137"/>
      <c r="CZ174" s="137"/>
      <c r="DA174" s="137"/>
    </row>
    <row r="175" spans="1:109" s="130" customFormat="1" ht="16.5" customHeight="1" x14ac:dyDescent="0.5">
      <c r="A175" s="375"/>
      <c r="B175" s="414" t="str">
        <f>IF(AND(I55="ANO",BQ40=34),". . .",IF(AND(I55="ANO",CV40&lt;4,BQ40=44),". . .",IF(AND(I55="ANO",CV40&gt;3,BQ40=44),DB63,IF(AND(I55="ANO",BQ40=36,DD150&gt;0),"1. z baráže  A, B, C",IF(AND(I55="ANO",BQ40=36),DB151,IF(AND(I55="ANO",BQ40=28),DB116,""))))))</f>
        <v/>
      </c>
      <c r="C175" s="415"/>
      <c r="D175" s="415"/>
      <c r="E175" s="416"/>
      <c r="F175" s="398"/>
      <c r="G175" s="152"/>
      <c r="H175" s="138"/>
      <c r="I175" s="131"/>
      <c r="J175" s="149"/>
      <c r="K175" s="149"/>
      <c r="L175" s="149"/>
      <c r="M175" s="213"/>
      <c r="N175" s="385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6"/>
      <c r="AA175" s="386"/>
      <c r="AB175" s="386"/>
      <c r="AC175" s="386"/>
      <c r="AD175" s="386"/>
      <c r="AE175" s="133"/>
      <c r="AF175" s="133"/>
      <c r="AG175" s="133"/>
      <c r="AM175" s="155"/>
      <c r="AN175" s="134"/>
      <c r="AO175" s="134"/>
      <c r="AP175" s="135"/>
      <c r="AQ175" s="136"/>
      <c r="AR175" s="136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36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36"/>
      <c r="CO175" s="130">
        <v>7</v>
      </c>
      <c r="CP175" s="140" t="str">
        <f>IF(ISBLANK(J201),"Prázdné","1")</f>
        <v>Prázdné</v>
      </c>
      <c r="CU175" s="137"/>
      <c r="CV175" s="137"/>
      <c r="CW175" s="137"/>
      <c r="CX175" s="137"/>
      <c r="CY175" s="137"/>
      <c r="CZ175" s="137"/>
      <c r="DA175" s="137"/>
    </row>
    <row r="176" spans="1:109" s="136" customFormat="1" ht="16.5" customHeight="1" thickBot="1" x14ac:dyDescent="0.55000000000000004">
      <c r="A176" s="376"/>
      <c r="B176" s="417"/>
      <c r="C176" s="418"/>
      <c r="D176" s="418"/>
      <c r="E176" s="419"/>
      <c r="F176" s="399"/>
      <c r="G176" s="143"/>
      <c r="H176" s="138"/>
      <c r="I176" s="131"/>
      <c r="J176" s="149"/>
      <c r="K176" s="149"/>
      <c r="L176" s="157"/>
      <c r="M176" s="217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30"/>
      <c r="AA176" s="130"/>
      <c r="AB176" s="130"/>
      <c r="AC176" s="130"/>
      <c r="AD176" s="130"/>
      <c r="AE176" s="133"/>
      <c r="AF176" s="133"/>
      <c r="AG176" s="133"/>
      <c r="AH176" s="130"/>
      <c r="AI176" s="130"/>
      <c r="AJ176" s="130"/>
      <c r="AK176" s="130"/>
      <c r="AL176" s="130"/>
      <c r="AM176" s="155"/>
      <c r="AN176" s="134"/>
      <c r="AO176" s="134"/>
      <c r="AP176" s="135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L176" s="130"/>
      <c r="CM176" s="130"/>
      <c r="CN176" s="130"/>
      <c r="CO176" s="130">
        <v>8</v>
      </c>
      <c r="CP176" s="140" t="str">
        <f>IF(ISBLANK(J209),"Prázdné","1")</f>
        <v>Prázdné</v>
      </c>
      <c r="CQ176" s="130"/>
      <c r="CR176" s="130"/>
      <c r="CS176" s="130"/>
      <c r="CT176" s="130"/>
      <c r="CU176" s="137"/>
      <c r="CV176" s="137"/>
      <c r="CW176" s="137"/>
      <c r="CX176" s="137"/>
      <c r="CY176" s="137"/>
      <c r="CZ176" s="137"/>
      <c r="DA176" s="137"/>
    </row>
    <row r="177" spans="1:105" s="136" customFormat="1" ht="16.5" customHeight="1" x14ac:dyDescent="0.5">
      <c r="A177" s="130"/>
      <c r="B177" s="404"/>
      <c r="C177" s="404"/>
      <c r="D177" s="404"/>
      <c r="E177" s="404"/>
      <c r="F177" s="144"/>
      <c r="G177" s="145"/>
      <c r="H177" s="391" t="str">
        <f>IF(AND(I55="ANO",CV40&gt;5,BQ40=61),DB64,IF(AND(I55="ANO",CV40&lt;6,BQ40=61),". . .",IF(AND(I55="ANO",BQ40=32),DB72,IF(AND(I55="ANO",BQ40=42),DB72,IF(AND(I55="ANO",BQ40=33),DB72,IF(AND(I55="ANO",BQ40=24),DB93,IF(AND(I55="ANO",BQ40=34,F175&gt;F179),B175,IF(AND(I55="ANO",BQ40=34,F175&lt;F179),B179,IF(AND(I55="ANO",BQ40=34,B175=". . ."),B179,IF(AND(I55="ANO",BQ40=44,F175&gt;F179),B175,IF(AND(I55="ANO",BQ40=44,F175&lt;F179),B179,IF(AND(I55="ANO",BQ40=44,B175=". . ."),B179,IF(AND(I55="ANO",BQ40=36,F175&gt;F179),B175,IF(AND(I55="ANO",BQ40=36,F175&lt;F179),B179,IF(AND(I55="ANO",BQ40=36,B175=". . ."),B179,IF(AND(I55="ANO",BQ40=28,F175&gt;F179),B175,IF(AND(I55="ANO",BQ40=28,F175&lt;F179),B179,IF(AND(I55="ANO",BQ40=28,B175=". . ."),B179,""))))))))))))))))))</f>
        <v/>
      </c>
      <c r="I177" s="392"/>
      <c r="J177" s="408"/>
      <c r="K177" s="409"/>
      <c r="L177" s="409"/>
      <c r="M177" s="405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30"/>
      <c r="AA177" s="130"/>
      <c r="AB177" s="130"/>
      <c r="AC177" s="130"/>
      <c r="AD177" s="130"/>
      <c r="AE177" s="133"/>
      <c r="AF177" s="133"/>
      <c r="AG177" s="133"/>
      <c r="AH177" s="130"/>
      <c r="AI177" s="130"/>
      <c r="AJ177" s="130"/>
      <c r="AK177" s="130"/>
      <c r="AL177" s="130"/>
      <c r="AM177" s="155"/>
      <c r="AN177" s="134"/>
      <c r="AO177" s="134"/>
      <c r="AP177" s="135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7"/>
      <c r="CV177" s="137"/>
      <c r="CW177" s="137"/>
      <c r="CX177" s="137"/>
      <c r="CY177" s="137"/>
      <c r="CZ177" s="137"/>
      <c r="DA177" s="137"/>
    </row>
    <row r="178" spans="1:105" s="136" customFormat="1" ht="16.5" customHeight="1" thickBot="1" x14ac:dyDescent="0.55000000000000004">
      <c r="A178" s="130"/>
      <c r="B178" s="158"/>
      <c r="C178" s="158"/>
      <c r="D178" s="158"/>
      <c r="E178" s="158"/>
      <c r="F178" s="130"/>
      <c r="G178" s="146"/>
      <c r="H178" s="394"/>
      <c r="I178" s="395"/>
      <c r="J178" s="410"/>
      <c r="K178" s="411"/>
      <c r="L178" s="411"/>
      <c r="M178" s="406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30"/>
      <c r="AA178" s="130"/>
      <c r="AB178" s="130"/>
      <c r="AC178" s="130"/>
      <c r="AD178" s="130"/>
      <c r="AE178" s="133"/>
      <c r="AF178" s="133"/>
      <c r="AG178" s="133"/>
      <c r="AH178" s="130"/>
      <c r="AI178" s="130"/>
      <c r="AJ178" s="130"/>
      <c r="AK178" s="130"/>
      <c r="AL178" s="130"/>
      <c r="AM178" s="155"/>
      <c r="AN178" s="134"/>
      <c r="AO178" s="134"/>
      <c r="AP178" s="135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L178" s="130"/>
      <c r="CM178" s="130"/>
      <c r="CN178" s="130"/>
      <c r="CO178" s="130"/>
      <c r="CP178" s="130" t="s">
        <v>235</v>
      </c>
      <c r="CQ178" s="130"/>
      <c r="CR178" s="130"/>
      <c r="CS178" s="130"/>
      <c r="CT178" s="130"/>
      <c r="CU178" s="137"/>
      <c r="CV178" s="137"/>
      <c r="CW178" s="137"/>
      <c r="CX178" s="137"/>
      <c r="CY178" s="137"/>
      <c r="CZ178" s="137"/>
      <c r="DA178" s="137"/>
    </row>
    <row r="179" spans="1:105" s="136" customFormat="1" ht="16.5" customHeight="1" x14ac:dyDescent="0.5">
      <c r="A179" s="397"/>
      <c r="B179" s="377" t="str">
        <f>IF(AND(I55="ANO",BQ40=34),DB93,IF(AND(I55="ANO",BQ40=44),DB93,IF(AND(I55="ANO",BQ40=36),DB104,IF(AND(I55="ANO",BQ40=28),DB93,""))))</f>
        <v/>
      </c>
      <c r="C179" s="378"/>
      <c r="D179" s="378"/>
      <c r="E179" s="379"/>
      <c r="F179" s="383"/>
      <c r="G179" s="148"/>
      <c r="H179" s="385"/>
      <c r="I179" s="386"/>
      <c r="J179" s="149"/>
      <c r="K179" s="149"/>
      <c r="L179" s="149"/>
      <c r="M179" s="149"/>
      <c r="N179" s="149"/>
      <c r="O179" s="149"/>
      <c r="P179" s="149"/>
      <c r="Q179" s="149"/>
      <c r="R179" s="421" t="str">
        <f>IF(ISBLANK(B14),"",B14)</f>
        <v/>
      </c>
      <c r="S179" s="422"/>
      <c r="T179" s="422"/>
      <c r="U179" s="422"/>
      <c r="V179" s="422"/>
      <c r="W179" s="422"/>
      <c r="X179" s="422"/>
      <c r="Y179" s="422"/>
      <c r="Z179" s="422"/>
      <c r="AA179" s="422"/>
      <c r="AB179" s="422"/>
      <c r="AC179" s="422"/>
      <c r="AD179" s="422"/>
      <c r="AE179" s="422"/>
      <c r="AF179" s="422"/>
      <c r="AG179" s="423"/>
      <c r="AH179" s="130"/>
      <c r="AI179" s="130"/>
      <c r="AJ179" s="130"/>
      <c r="AK179" s="130"/>
      <c r="AL179" s="130"/>
      <c r="AM179" s="155"/>
      <c r="AN179" s="134"/>
      <c r="AO179" s="134"/>
      <c r="AP179" s="135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L179" s="130"/>
      <c r="CM179" s="130"/>
      <c r="CN179" s="130"/>
      <c r="CO179" s="130">
        <v>1</v>
      </c>
      <c r="CP179" s="140" t="str">
        <f>IF(ISBLANK(AE157),"Prázdné","1")</f>
        <v>Prázdné</v>
      </c>
      <c r="CQ179" s="130"/>
      <c r="CR179" s="130"/>
      <c r="CS179" s="130"/>
      <c r="CT179" s="130"/>
      <c r="CU179" s="137"/>
      <c r="CV179" s="137"/>
      <c r="CW179" s="137"/>
      <c r="CX179" s="137"/>
      <c r="CY179" s="137"/>
      <c r="CZ179" s="137"/>
      <c r="DA179" s="137"/>
    </row>
    <row r="180" spans="1:105" s="136" customFormat="1" ht="16.5" customHeight="1" thickBot="1" x14ac:dyDescent="0.55000000000000004">
      <c r="A180" s="397"/>
      <c r="B180" s="380"/>
      <c r="C180" s="381"/>
      <c r="D180" s="381"/>
      <c r="E180" s="382"/>
      <c r="F180" s="384"/>
      <c r="G180" s="154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424"/>
      <c r="S180" s="425"/>
      <c r="T180" s="425"/>
      <c r="U180" s="425"/>
      <c r="V180" s="425"/>
      <c r="W180" s="425"/>
      <c r="X180" s="425"/>
      <c r="Y180" s="425"/>
      <c r="Z180" s="425"/>
      <c r="AA180" s="425"/>
      <c r="AB180" s="425"/>
      <c r="AC180" s="425"/>
      <c r="AD180" s="425"/>
      <c r="AE180" s="425"/>
      <c r="AF180" s="425"/>
      <c r="AG180" s="426"/>
      <c r="AH180" s="130"/>
      <c r="AI180" s="130"/>
      <c r="AJ180" s="130"/>
      <c r="AK180" s="130"/>
      <c r="AL180" s="130"/>
      <c r="AM180" s="155"/>
      <c r="AN180" s="427" t="s">
        <v>236</v>
      </c>
      <c r="AO180" s="428"/>
      <c r="AP180" s="428"/>
      <c r="AQ180" s="428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L180" s="130"/>
      <c r="CM180" s="130"/>
      <c r="CN180" s="130"/>
      <c r="CO180" s="130">
        <v>2</v>
      </c>
      <c r="CP180" s="140" t="str">
        <f>IF(ISBLANK(AE173),"Prázdné","1")</f>
        <v>Prázdné</v>
      </c>
      <c r="CQ180" s="130"/>
      <c r="CR180" s="130"/>
      <c r="CS180" s="130"/>
      <c r="CT180" s="130"/>
      <c r="CU180" s="137"/>
      <c r="CV180" s="137"/>
      <c r="CW180" s="137"/>
      <c r="CX180" s="137"/>
      <c r="CY180" s="137"/>
      <c r="CZ180" s="137"/>
      <c r="DA180" s="137"/>
    </row>
    <row r="181" spans="1:105" s="136" customFormat="1" ht="16.5" customHeight="1" x14ac:dyDescent="0.5">
      <c r="A181" s="130"/>
      <c r="B181" s="404"/>
      <c r="C181" s="404"/>
      <c r="D181" s="404"/>
      <c r="E181" s="404"/>
      <c r="F181" s="144"/>
      <c r="G181" s="144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424"/>
      <c r="S181" s="425"/>
      <c r="T181" s="425"/>
      <c r="U181" s="425"/>
      <c r="V181" s="425"/>
      <c r="W181" s="425"/>
      <c r="X181" s="425"/>
      <c r="Y181" s="425"/>
      <c r="Z181" s="425"/>
      <c r="AA181" s="425"/>
      <c r="AB181" s="425"/>
      <c r="AC181" s="425"/>
      <c r="AD181" s="425"/>
      <c r="AE181" s="425"/>
      <c r="AF181" s="425"/>
      <c r="AG181" s="426"/>
      <c r="AH181" s="130"/>
      <c r="AI181" s="130"/>
      <c r="AJ181" s="137"/>
      <c r="AK181" s="137"/>
      <c r="AL181" s="429" t="str">
        <f>IF(AM165&gt;AM197,AF165,IF(AM165&lt;AM197,AF197,""))</f>
        <v/>
      </c>
      <c r="AM181" s="430"/>
      <c r="AN181" s="430"/>
      <c r="AO181" s="430"/>
      <c r="AP181" s="430"/>
      <c r="AQ181" s="431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L181" s="130"/>
      <c r="CM181" s="130"/>
      <c r="CN181" s="130"/>
      <c r="CO181" s="130">
        <v>3</v>
      </c>
      <c r="CP181" s="140" t="str">
        <f>IF(ISBLANK(AE189),"Prázdné","1")</f>
        <v>Prázdné</v>
      </c>
      <c r="CQ181" s="130"/>
      <c r="CR181" s="130"/>
      <c r="CS181" s="130"/>
      <c r="CT181" s="130"/>
      <c r="CU181" s="137"/>
      <c r="CV181" s="137"/>
      <c r="CW181" s="137"/>
      <c r="CX181" s="137"/>
      <c r="CY181" s="137"/>
      <c r="CZ181" s="137"/>
      <c r="DA181" s="137"/>
    </row>
    <row r="182" spans="1:105" s="136" customFormat="1" ht="16.5" customHeight="1" thickBot="1" x14ac:dyDescent="0.55000000000000004">
      <c r="A182" s="130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435" t="str">
        <f>IF(ISBLANK(B8),"",CONCATENATE("(",(TEXT(B8,"d.m.rrrr")),", ",B11," - ",BG30,", ",BG31,")"))</f>
        <v/>
      </c>
      <c r="S182" s="436"/>
      <c r="T182" s="436"/>
      <c r="U182" s="436"/>
      <c r="V182" s="436"/>
      <c r="W182" s="436"/>
      <c r="X182" s="436"/>
      <c r="Y182" s="436"/>
      <c r="Z182" s="436"/>
      <c r="AA182" s="436"/>
      <c r="AB182" s="436"/>
      <c r="AC182" s="436"/>
      <c r="AD182" s="436"/>
      <c r="AE182" s="436"/>
      <c r="AF182" s="436"/>
      <c r="AG182" s="437"/>
      <c r="AH182" s="130"/>
      <c r="AI182" s="130"/>
      <c r="AJ182" s="137"/>
      <c r="AK182" s="137"/>
      <c r="AL182" s="432"/>
      <c r="AM182" s="433"/>
      <c r="AN182" s="433"/>
      <c r="AO182" s="433"/>
      <c r="AP182" s="433"/>
      <c r="AQ182" s="43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L182" s="130"/>
      <c r="CM182" s="130"/>
      <c r="CN182" s="130"/>
      <c r="CO182" s="130">
        <v>4</v>
      </c>
      <c r="CP182" s="140" t="str">
        <f>IF(ISBLANK(AE205),"Prázdné","1")</f>
        <v>Prázdné</v>
      </c>
      <c r="CQ182" s="130"/>
      <c r="CR182" s="130"/>
      <c r="CS182" s="130"/>
      <c r="CT182" s="130"/>
      <c r="CU182" s="137"/>
      <c r="CV182" s="137"/>
      <c r="CW182" s="137"/>
      <c r="CX182" s="137"/>
      <c r="CY182" s="137"/>
      <c r="CZ182" s="137"/>
      <c r="DA182" s="137"/>
    </row>
    <row r="183" spans="1:105" s="136" customFormat="1" ht="16.5" customHeight="1" x14ac:dyDescent="0.5">
      <c r="A183" s="397"/>
      <c r="B183" s="391" t="str">
        <f>IF(AND(I55="ANO",BQ40=34),DB82,IF(AND(I55="ANO",BQ40=44),DB82,IF(AND(I55="ANO",BQ40=36),DB93,IF(AND(I55="ANO",BQ40=28),DB82,""))))</f>
        <v/>
      </c>
      <c r="C183" s="392"/>
      <c r="D183" s="392"/>
      <c r="E183" s="393"/>
      <c r="F183" s="398"/>
      <c r="G183" s="152"/>
      <c r="H183" s="138"/>
      <c r="I183" s="131"/>
      <c r="J183" s="130"/>
      <c r="K183" s="130"/>
      <c r="L183" s="130"/>
      <c r="M183" s="130"/>
      <c r="N183" s="130"/>
      <c r="O183" s="130"/>
      <c r="P183" s="130"/>
      <c r="Q183" s="130"/>
      <c r="R183" s="438"/>
      <c r="S183" s="439"/>
      <c r="T183" s="439"/>
      <c r="U183" s="439"/>
      <c r="V183" s="439"/>
      <c r="W183" s="439"/>
      <c r="X183" s="439"/>
      <c r="Y183" s="439"/>
      <c r="Z183" s="439"/>
      <c r="AA183" s="439"/>
      <c r="AB183" s="439"/>
      <c r="AC183" s="439"/>
      <c r="AD183" s="439"/>
      <c r="AE183" s="439"/>
      <c r="AF183" s="439"/>
      <c r="AG183" s="440"/>
      <c r="AH183" s="130"/>
      <c r="AI183" s="130"/>
      <c r="AJ183" s="130"/>
      <c r="AK183" s="130"/>
      <c r="AL183" s="130"/>
      <c r="AM183" s="155"/>
      <c r="AN183" s="134"/>
      <c r="AO183" s="134"/>
      <c r="AP183" s="135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7"/>
      <c r="CV183" s="137"/>
      <c r="CW183" s="137"/>
      <c r="CX183" s="137"/>
      <c r="CY183" s="137"/>
      <c r="CZ183" s="137"/>
      <c r="DA183" s="137"/>
    </row>
    <row r="184" spans="1:105" s="136" customFormat="1" ht="16.5" customHeight="1" thickBot="1" x14ac:dyDescent="0.55000000000000004">
      <c r="A184" s="397"/>
      <c r="B184" s="394"/>
      <c r="C184" s="395"/>
      <c r="D184" s="395"/>
      <c r="E184" s="396"/>
      <c r="F184" s="399"/>
      <c r="G184" s="143"/>
      <c r="H184" s="138"/>
      <c r="I184" s="131"/>
      <c r="J184" s="130"/>
      <c r="K184" s="130"/>
      <c r="L184" s="130"/>
      <c r="M184" s="130"/>
      <c r="N184" s="130"/>
      <c r="O184" s="130"/>
      <c r="P184" s="130"/>
      <c r="Q184" s="130"/>
      <c r="R184" s="441"/>
      <c r="S184" s="442"/>
      <c r="T184" s="442"/>
      <c r="U184" s="442"/>
      <c r="V184" s="442"/>
      <c r="W184" s="442"/>
      <c r="X184" s="442"/>
      <c r="Y184" s="442"/>
      <c r="Z184" s="442"/>
      <c r="AA184" s="442"/>
      <c r="AB184" s="442"/>
      <c r="AC184" s="442"/>
      <c r="AD184" s="442"/>
      <c r="AE184" s="442"/>
      <c r="AF184" s="442"/>
      <c r="AG184" s="443"/>
      <c r="AH184" s="130"/>
      <c r="AI184" s="130"/>
      <c r="AJ184" s="130"/>
      <c r="AK184" s="130"/>
      <c r="AL184" s="130"/>
      <c r="AM184" s="155"/>
      <c r="AN184" s="134"/>
      <c r="AO184" s="134"/>
      <c r="AP184" s="135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L184" s="130"/>
      <c r="CM184" s="130"/>
      <c r="CN184" s="130"/>
      <c r="CO184" s="130"/>
      <c r="CP184" s="130" t="s">
        <v>237</v>
      </c>
      <c r="CQ184" s="130"/>
      <c r="CR184" s="130"/>
      <c r="CS184" s="130"/>
      <c r="CT184" s="130"/>
      <c r="CU184" s="137"/>
      <c r="CV184" s="137"/>
      <c r="CW184" s="137"/>
      <c r="CX184" s="137"/>
      <c r="CY184" s="137"/>
      <c r="CZ184" s="137"/>
      <c r="DA184" s="137"/>
    </row>
    <row r="185" spans="1:105" s="136" customFormat="1" ht="16.5" customHeight="1" x14ac:dyDescent="0.5">
      <c r="A185" s="130"/>
      <c r="B185" s="404"/>
      <c r="C185" s="404"/>
      <c r="D185" s="404"/>
      <c r="E185" s="404"/>
      <c r="F185" s="144"/>
      <c r="G185" s="145"/>
      <c r="H185" s="391" t="str">
        <f>IF(AND(I55="ANO",BQ40=61),DB62,IF(AND(I55="ANO",BQ40=32),DB73,IF(AND(I55="ANO",BQ40=42),DB73,IF(AND(I55="ANO",BQ40=33),DB82,IF(AND(I55="ANO",BQ40=24),DB82,IF(AND(I55="ANO",BQ40=34,F183&gt;F187),B183,IF(AND(I55="ANO",BQ40=34,F183&lt;F187),B187,IF(AND(I55="ANO",BQ40=34,B187=". . ."),B183,IF(AND(I55="ANO",BQ40=44,F183&gt;F187),B183,IF(AND(I55="ANO",BQ40=44,F183&lt;F187),B187,IF(AND(I55="ANO",BQ40=44,B187=". . ."),B183,IF(AND(I55="ANO",BQ40=36,F183&gt;F187),B183,IF(AND(I55="ANO",BQ40=36,F183&lt;F187),B187,IF(AND(I55="ANO",BQ40=36,B187=". . ."),B183,IF(AND(I55="ANO",BQ40=28,F183&gt;F187),B183,IF(AND(I55="ANO",BQ40=28,F183&lt;F187),B187,IF(AND(I55="ANO",BQ40=28,B187=". . ."),B183,"")))))))))))))))))</f>
        <v/>
      </c>
      <c r="I185" s="392"/>
      <c r="J185" s="408"/>
      <c r="K185" s="409"/>
      <c r="L185" s="409"/>
      <c r="M185" s="405"/>
      <c r="N185" s="130"/>
      <c r="O185" s="130"/>
      <c r="P185" s="130"/>
      <c r="Q185" s="130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30"/>
      <c r="AI185" s="130"/>
      <c r="AJ185" s="130"/>
      <c r="AK185" s="130"/>
      <c r="AL185" s="130"/>
      <c r="AM185" s="155"/>
      <c r="AN185" s="134"/>
      <c r="AO185" s="134"/>
      <c r="AP185" s="135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L185" s="130"/>
      <c r="CM185" s="130"/>
      <c r="CN185" s="130"/>
      <c r="CO185" s="130">
        <v>1</v>
      </c>
      <c r="CP185" s="140" t="str">
        <f>IF(ISBLANK(AM165),"Prázdné","1")</f>
        <v>Prázdné</v>
      </c>
      <c r="CQ185" s="130"/>
      <c r="CR185" s="130"/>
      <c r="CS185" s="130"/>
      <c r="CT185" s="130"/>
      <c r="CU185" s="137"/>
      <c r="CV185" s="137"/>
      <c r="CW185" s="137"/>
      <c r="CX185" s="137"/>
      <c r="CY185" s="137"/>
      <c r="CZ185" s="137"/>
      <c r="DA185" s="137"/>
    </row>
    <row r="186" spans="1:105" s="136" customFormat="1" ht="16.5" customHeight="1" thickBot="1" x14ac:dyDescent="0.55000000000000004">
      <c r="A186" s="130"/>
      <c r="B186" s="130"/>
      <c r="C186" s="130"/>
      <c r="D186" s="130"/>
      <c r="E186" s="130"/>
      <c r="F186" s="130"/>
      <c r="G186" s="146"/>
      <c r="H186" s="394"/>
      <c r="I186" s="395"/>
      <c r="J186" s="410"/>
      <c r="K186" s="411"/>
      <c r="L186" s="411"/>
      <c r="M186" s="406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3"/>
      <c r="AF186" s="133"/>
      <c r="AG186" s="133"/>
      <c r="AH186" s="130"/>
      <c r="AI186" s="130"/>
      <c r="AJ186" s="130"/>
      <c r="AK186" s="130"/>
      <c r="AL186" s="130"/>
      <c r="AM186" s="155"/>
      <c r="AN186" s="134"/>
      <c r="AO186" s="134"/>
      <c r="AP186" s="135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L186" s="130"/>
      <c r="CM186" s="130"/>
      <c r="CN186" s="130"/>
      <c r="CO186" s="130">
        <v>2</v>
      </c>
      <c r="CP186" s="140" t="str">
        <f>IF(ISBLANK(AM197),"Prázdné","1")</f>
        <v>Prázdné</v>
      </c>
      <c r="CQ186" s="130"/>
      <c r="CR186" s="130"/>
      <c r="CS186" s="130"/>
      <c r="CT186" s="130"/>
      <c r="CU186" s="137"/>
      <c r="CV186" s="137"/>
      <c r="CW186" s="137"/>
      <c r="CX186" s="137"/>
      <c r="CY186" s="137"/>
      <c r="CZ186" s="137"/>
      <c r="DA186" s="137"/>
    </row>
    <row r="187" spans="1:105" s="136" customFormat="1" ht="16.5" customHeight="1" x14ac:dyDescent="0.5">
      <c r="A187" s="375"/>
      <c r="B187" s="377" t="str">
        <f>IF(AND(I55="ANO",BQ40=34),". . .",IF(AND(I55="ANO",CV42&lt;4,BQ40=44),". . .",IF(AND(I55="ANO",CV42&gt;3,BQ40=44),DB74,IF(AND(I55="ANO",BQ40=36,DD150&gt;0),"2. z baráže  A, B, C",IF(AND(I55="ANO",BQ40=36),DB152,IF(AND(I55="ANO",BQ40=28),DB105,""))))))</f>
        <v/>
      </c>
      <c r="C187" s="378"/>
      <c r="D187" s="378"/>
      <c r="E187" s="379"/>
      <c r="F187" s="383"/>
      <c r="G187" s="148"/>
      <c r="H187" s="385"/>
      <c r="I187" s="386"/>
      <c r="J187" s="149"/>
      <c r="K187" s="149"/>
      <c r="L187" s="156"/>
      <c r="M187" s="214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30"/>
      <c r="AA187" s="130"/>
      <c r="AB187" s="130"/>
      <c r="AC187" s="130"/>
      <c r="AD187" s="130"/>
      <c r="AE187" s="133"/>
      <c r="AF187" s="133"/>
      <c r="AG187" s="133"/>
      <c r="AH187" s="130"/>
      <c r="AI187" s="130"/>
      <c r="AJ187" s="130"/>
      <c r="AK187" s="130"/>
      <c r="AL187" s="130"/>
      <c r="AM187" s="155"/>
      <c r="AN187" s="134"/>
      <c r="AO187" s="134"/>
      <c r="AP187" s="135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7"/>
      <c r="CV187" s="137"/>
      <c r="CW187" s="137"/>
      <c r="CX187" s="137"/>
      <c r="CY187" s="137"/>
      <c r="CZ187" s="137"/>
      <c r="DA187" s="137"/>
    </row>
    <row r="188" spans="1:105" s="136" customFormat="1" ht="16.5" customHeight="1" thickBot="1" x14ac:dyDescent="0.55000000000000004">
      <c r="A188" s="376"/>
      <c r="B188" s="380"/>
      <c r="C188" s="381"/>
      <c r="D188" s="381"/>
      <c r="E188" s="382"/>
      <c r="F188" s="384"/>
      <c r="G188" s="154"/>
      <c r="H188" s="149"/>
      <c r="I188" s="149"/>
      <c r="J188" s="149"/>
      <c r="K188" s="149"/>
      <c r="L188" s="149"/>
      <c r="M188" s="215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30"/>
      <c r="AA188" s="130"/>
      <c r="AB188" s="130"/>
      <c r="AC188" s="130"/>
      <c r="AD188" s="130"/>
      <c r="AE188" s="133"/>
      <c r="AF188" s="133"/>
      <c r="AG188" s="133"/>
      <c r="AH188" s="130"/>
      <c r="AI188" s="130"/>
      <c r="AJ188" s="130"/>
      <c r="AK188" s="130"/>
      <c r="AL188" s="130"/>
      <c r="AM188" s="155"/>
      <c r="AN188" s="134"/>
      <c r="AO188" s="134"/>
      <c r="AP188" s="135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L188" s="130"/>
      <c r="CM188" s="130"/>
      <c r="CN188" s="130"/>
      <c r="CO188" s="130"/>
      <c r="CP188" s="130"/>
      <c r="CQ188" s="130"/>
      <c r="CR188" s="130"/>
      <c r="CS188" s="130"/>
      <c r="CT188" s="130"/>
      <c r="CU188" s="137"/>
      <c r="CV188" s="137"/>
      <c r="CW188" s="137"/>
      <c r="CX188" s="137"/>
      <c r="CY188" s="137"/>
      <c r="CZ188" s="137"/>
      <c r="DA188" s="137"/>
    </row>
    <row r="189" spans="1:105" s="136" customFormat="1" ht="16.5" customHeight="1" x14ac:dyDescent="0.5">
      <c r="A189" s="130"/>
      <c r="B189" s="404"/>
      <c r="C189" s="404"/>
      <c r="D189" s="404"/>
      <c r="E189" s="404"/>
      <c r="F189" s="144"/>
      <c r="G189" s="144"/>
      <c r="H189" s="149"/>
      <c r="I189" s="149"/>
      <c r="J189" s="149"/>
      <c r="K189" s="149"/>
      <c r="L189" s="149"/>
      <c r="M189" s="216"/>
      <c r="N189" s="391" t="str">
        <f>IF(AND(I55="ANO",BQ40=22),DB61,IF(J185&gt;J193,H185,IF(J185&lt;J193,H193,IF(H193=". . .",H185,""))))</f>
        <v/>
      </c>
      <c r="O189" s="392"/>
      <c r="P189" s="392"/>
      <c r="Q189" s="392"/>
      <c r="R189" s="392"/>
      <c r="S189" s="392"/>
      <c r="T189" s="392"/>
      <c r="U189" s="392"/>
      <c r="V189" s="392"/>
      <c r="W189" s="392"/>
      <c r="X189" s="392"/>
      <c r="Y189" s="392"/>
      <c r="Z189" s="392"/>
      <c r="AA189" s="392"/>
      <c r="AB189" s="392"/>
      <c r="AC189" s="392"/>
      <c r="AD189" s="393"/>
      <c r="AE189" s="405"/>
      <c r="AF189" s="133"/>
      <c r="AG189" s="133"/>
      <c r="AH189" s="130"/>
      <c r="AI189" s="130"/>
      <c r="AJ189" s="130"/>
      <c r="AK189" s="130"/>
      <c r="AL189" s="130"/>
      <c r="AM189" s="155"/>
      <c r="AN189" s="134"/>
      <c r="AO189" s="134"/>
      <c r="AP189" s="135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7"/>
      <c r="CV189" s="137"/>
      <c r="CW189" s="137"/>
      <c r="CX189" s="137"/>
      <c r="CY189" s="137"/>
      <c r="CZ189" s="137"/>
      <c r="DA189" s="137"/>
    </row>
    <row r="190" spans="1:105" s="136" customFormat="1" ht="16.5" customHeight="1" thickBot="1" x14ac:dyDescent="0.55000000000000004">
      <c r="A190" s="130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216"/>
      <c r="N190" s="394"/>
      <c r="O190" s="395"/>
      <c r="P190" s="395"/>
      <c r="Q190" s="395"/>
      <c r="R190" s="395"/>
      <c r="S190" s="395"/>
      <c r="T190" s="395"/>
      <c r="U190" s="395"/>
      <c r="V190" s="395"/>
      <c r="W190" s="395"/>
      <c r="X190" s="395"/>
      <c r="Y190" s="395"/>
      <c r="Z190" s="395"/>
      <c r="AA190" s="395"/>
      <c r="AB190" s="395"/>
      <c r="AC190" s="395"/>
      <c r="AD190" s="396"/>
      <c r="AE190" s="406"/>
      <c r="AF190" s="133"/>
      <c r="AG190" s="133"/>
      <c r="AH190" s="130"/>
      <c r="AI190" s="130"/>
      <c r="AJ190" s="130"/>
      <c r="AK190" s="130"/>
      <c r="AL190" s="130"/>
      <c r="AM190" s="155"/>
      <c r="AN190" s="134"/>
      <c r="AO190" s="134"/>
      <c r="AP190" s="135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L190" s="130"/>
      <c r="CM190" s="130"/>
      <c r="CN190" s="130"/>
      <c r="CO190" s="130"/>
      <c r="CP190" s="130"/>
      <c r="CQ190" s="130"/>
      <c r="CR190" s="130"/>
      <c r="CS190" s="130"/>
      <c r="CT190" s="130"/>
      <c r="CU190" s="137"/>
      <c r="CV190" s="137"/>
      <c r="CW190" s="137"/>
      <c r="CX190" s="137"/>
      <c r="CY190" s="137"/>
      <c r="CZ190" s="137"/>
      <c r="DA190" s="137"/>
    </row>
    <row r="191" spans="1:105" s="136" customFormat="1" ht="16.5" customHeight="1" x14ac:dyDescent="0.5">
      <c r="A191" s="397"/>
      <c r="B191" s="414" t="str">
        <f>IF(AND(I55="ANO",BQ40=34),DB94,IF(AND(I55="ANO",BQ40=44),DB94,IF(AND(I55="ANO",BQ40=36),DB83,IF(AND(I55="ANO",BQ40=28),DB94,""))))</f>
        <v/>
      </c>
      <c r="C191" s="415"/>
      <c r="D191" s="415"/>
      <c r="E191" s="416"/>
      <c r="F191" s="398"/>
      <c r="G191" s="152"/>
      <c r="H191" s="138"/>
      <c r="I191" s="131"/>
      <c r="J191" s="149"/>
      <c r="K191" s="149"/>
      <c r="L191" s="149"/>
      <c r="M191" s="213"/>
      <c r="N191" s="385"/>
      <c r="O191" s="386"/>
      <c r="P191" s="386"/>
      <c r="Q191" s="386"/>
      <c r="R191" s="386"/>
      <c r="S191" s="386"/>
      <c r="T191" s="386"/>
      <c r="U191" s="386"/>
      <c r="V191" s="386"/>
      <c r="W191" s="386"/>
      <c r="X191" s="386"/>
      <c r="Y191" s="386"/>
      <c r="Z191" s="386"/>
      <c r="AA191" s="386"/>
      <c r="AB191" s="386"/>
      <c r="AC191" s="386"/>
      <c r="AD191" s="386"/>
      <c r="AE191" s="145"/>
      <c r="AF191" s="133"/>
      <c r="AG191" s="133"/>
      <c r="AH191" s="130"/>
      <c r="AI191" s="130"/>
      <c r="AJ191" s="130"/>
      <c r="AK191" s="130"/>
      <c r="AL191" s="130"/>
      <c r="AM191" s="155"/>
      <c r="AN191" s="134"/>
      <c r="AO191" s="134"/>
      <c r="AP191" s="135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L191" s="130"/>
      <c r="CM191" s="130"/>
      <c r="CN191" s="130"/>
      <c r="CO191" s="130"/>
      <c r="CP191" s="130"/>
      <c r="CQ191" s="130"/>
      <c r="CR191" s="130"/>
      <c r="CS191" s="130"/>
      <c r="CT191" s="130"/>
      <c r="CU191" s="137"/>
      <c r="CV191" s="137"/>
      <c r="CW191" s="137"/>
      <c r="CX191" s="137"/>
      <c r="CY191" s="137"/>
      <c r="CZ191" s="137"/>
      <c r="DA191" s="137"/>
    </row>
    <row r="192" spans="1:105" s="136" customFormat="1" ht="16.5" customHeight="1" thickBot="1" x14ac:dyDescent="0.55000000000000004">
      <c r="A192" s="397"/>
      <c r="B192" s="417"/>
      <c r="C192" s="418"/>
      <c r="D192" s="418"/>
      <c r="E192" s="419"/>
      <c r="F192" s="399"/>
      <c r="G192" s="143"/>
      <c r="H192" s="138"/>
      <c r="I192" s="131"/>
      <c r="J192" s="149"/>
      <c r="K192" s="149"/>
      <c r="L192" s="157"/>
      <c r="M192" s="217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30"/>
      <c r="AA192" s="130"/>
      <c r="AB192" s="130"/>
      <c r="AC192" s="130"/>
      <c r="AD192" s="130"/>
      <c r="AE192" s="145"/>
      <c r="AF192" s="133"/>
      <c r="AG192" s="133"/>
      <c r="AH192" s="130"/>
      <c r="AI192" s="130"/>
      <c r="AJ192" s="130"/>
      <c r="AK192" s="130"/>
      <c r="AL192" s="130"/>
      <c r="AM192" s="155"/>
      <c r="AN192" s="134"/>
      <c r="AO192" s="134"/>
      <c r="AP192" s="135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L192" s="130"/>
      <c r="CM192" s="130"/>
      <c r="CN192" s="130"/>
      <c r="CO192" s="130"/>
      <c r="CP192" s="130"/>
      <c r="CQ192" s="130"/>
      <c r="CR192" s="130"/>
      <c r="CS192" s="130"/>
      <c r="CT192" s="130"/>
      <c r="CU192" s="137"/>
      <c r="CV192" s="137"/>
      <c r="CW192" s="137"/>
      <c r="CX192" s="137"/>
      <c r="CY192" s="137"/>
      <c r="CZ192" s="137"/>
      <c r="DA192" s="137"/>
    </row>
    <row r="193" spans="1:105" s="136" customFormat="1" ht="16.5" customHeight="1" x14ac:dyDescent="0.5">
      <c r="A193" s="130"/>
      <c r="B193" s="404"/>
      <c r="C193" s="404"/>
      <c r="D193" s="404"/>
      <c r="E193" s="404"/>
      <c r="F193" s="130"/>
      <c r="G193" s="145"/>
      <c r="H193" s="391" t="str">
        <f>IF(AND(I55="ANO",CV40&gt;5,BQ40=61),DB65,IF(AND(I55="ANO",CV40&lt;6,BQ40=61),". . .",IF(AND(I55="ANO",BQ40=32),DB61,IF(AND(I55="ANO",BQ40=42),DB61,IF(AND(I55="ANO",BQ40=33),DB61,IF(AND(I55="ANO",BQ40=24),DB94,IF(AND(I55="ANO",BQ40=34,F191&gt;F195),B191,IF(AND(I55="ANO",BQ40=34,F191&lt;F195),B195,IF(AND(I55="ANO",BQ40=44,F191&gt;F195),B191,IF(AND(I55="ANO",BQ40=44,F191&lt;F195),B195,IF(AND(I55="ANO",BQ40=36,F191&gt;F195),B191,IF(AND(I55="ANO",BQ40=36,F191&lt;F195),B195,IF(AND(I55="ANO",BQ40=28,F191&gt;F195),B191,IF(AND(I55="ANO",BQ40=28,F191&lt;F195),B195,""))))))))))))))</f>
        <v/>
      </c>
      <c r="I193" s="392"/>
      <c r="J193" s="408"/>
      <c r="K193" s="409"/>
      <c r="L193" s="409"/>
      <c r="M193" s="405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30"/>
      <c r="AA193" s="130"/>
      <c r="AB193" s="130"/>
      <c r="AC193" s="130"/>
      <c r="AD193" s="130"/>
      <c r="AE193" s="145"/>
      <c r="AF193" s="133"/>
      <c r="AG193" s="133"/>
      <c r="AH193" s="130"/>
      <c r="AI193" s="130"/>
      <c r="AJ193" s="130"/>
      <c r="AK193" s="130"/>
      <c r="AL193" s="130"/>
      <c r="AM193" s="155"/>
      <c r="AN193" s="134"/>
      <c r="AO193" s="134"/>
      <c r="AP193" s="135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7"/>
      <c r="CV193" s="137"/>
      <c r="CW193" s="137"/>
      <c r="CX193" s="137"/>
      <c r="CY193" s="137"/>
      <c r="CZ193" s="137"/>
      <c r="DA193" s="137"/>
    </row>
    <row r="194" spans="1:105" s="136" customFormat="1" ht="16.5" customHeight="1" thickBot="1" x14ac:dyDescent="0.55000000000000004">
      <c r="A194" s="130"/>
      <c r="B194" s="130"/>
      <c r="C194" s="130"/>
      <c r="D194" s="130"/>
      <c r="E194" s="130"/>
      <c r="F194" s="130"/>
      <c r="G194" s="146"/>
      <c r="H194" s="394"/>
      <c r="I194" s="395"/>
      <c r="J194" s="410"/>
      <c r="K194" s="411"/>
      <c r="L194" s="411"/>
      <c r="M194" s="406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30"/>
      <c r="AA194" s="130"/>
      <c r="AB194" s="130"/>
      <c r="AC194" s="130"/>
      <c r="AD194" s="130"/>
      <c r="AE194" s="145"/>
      <c r="AF194" s="133"/>
      <c r="AG194" s="133"/>
      <c r="AH194" s="130"/>
      <c r="AI194" s="130"/>
      <c r="AJ194" s="130"/>
      <c r="AK194" s="130"/>
      <c r="AL194" s="130"/>
      <c r="AM194" s="155"/>
      <c r="AN194" s="134"/>
      <c r="AO194" s="134"/>
      <c r="AP194" s="135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L194" s="130"/>
      <c r="CM194" s="130"/>
      <c r="CN194" s="130"/>
      <c r="CO194" s="130"/>
      <c r="CP194" s="130"/>
      <c r="CQ194" s="130"/>
      <c r="CR194" s="130"/>
      <c r="CS194" s="130"/>
      <c r="CT194" s="130"/>
      <c r="CU194" s="137"/>
      <c r="CV194" s="137"/>
      <c r="CW194" s="137"/>
      <c r="CX194" s="137"/>
      <c r="CY194" s="137"/>
      <c r="CZ194" s="137"/>
      <c r="DA194" s="137"/>
    </row>
    <row r="195" spans="1:105" s="136" customFormat="1" ht="16.5" customHeight="1" x14ac:dyDescent="0.5">
      <c r="A195" s="375"/>
      <c r="B195" s="377" t="str">
        <f>IF(AND(I55="ANO",BQ40=34),DB62,IF(AND(I55="ANO",BQ40=44),DB62,IF(AND(I55="ANO",BQ40=36),DB105,IF(AND(I55="ANO",BQ40=28),DB115,""))))</f>
        <v/>
      </c>
      <c r="C195" s="378"/>
      <c r="D195" s="378"/>
      <c r="E195" s="379"/>
      <c r="F195" s="383"/>
      <c r="G195" s="148"/>
      <c r="H195" s="385"/>
      <c r="I195" s="386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30"/>
      <c r="AA195" s="130"/>
      <c r="AB195" s="130"/>
      <c r="AC195" s="130"/>
      <c r="AD195" s="130"/>
      <c r="AE195" s="145"/>
      <c r="AF195" s="133"/>
      <c r="AG195" s="133"/>
      <c r="AH195" s="130"/>
      <c r="AI195" s="130"/>
      <c r="AJ195" s="130"/>
      <c r="AK195" s="130"/>
      <c r="AL195" s="130"/>
      <c r="AM195" s="155"/>
      <c r="AN195" s="134"/>
      <c r="AO195" s="134"/>
      <c r="AP195" s="135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L195" s="130"/>
      <c r="CM195" s="130"/>
      <c r="CN195" s="130"/>
      <c r="CO195" s="130"/>
      <c r="CP195" s="130"/>
      <c r="CQ195" s="130"/>
      <c r="CR195" s="130"/>
      <c r="CS195" s="130"/>
      <c r="CT195" s="130"/>
      <c r="CU195" s="137"/>
      <c r="CV195" s="137"/>
      <c r="CW195" s="137"/>
      <c r="CX195" s="137"/>
      <c r="CY195" s="137"/>
      <c r="CZ195" s="137"/>
      <c r="DA195" s="137"/>
    </row>
    <row r="196" spans="1:105" s="136" customFormat="1" ht="16.5" customHeight="1" thickBot="1" x14ac:dyDescent="0.55000000000000004">
      <c r="A196" s="376"/>
      <c r="B196" s="380"/>
      <c r="C196" s="381"/>
      <c r="D196" s="381"/>
      <c r="E196" s="382"/>
      <c r="F196" s="384"/>
      <c r="G196" s="154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30"/>
      <c r="AA196" s="130"/>
      <c r="AB196" s="130"/>
      <c r="AC196" s="130"/>
      <c r="AD196" s="130"/>
      <c r="AE196" s="145"/>
      <c r="AF196" s="133"/>
      <c r="AG196" s="133"/>
      <c r="AH196" s="130"/>
      <c r="AI196" s="130"/>
      <c r="AJ196" s="130"/>
      <c r="AK196" s="130"/>
      <c r="AL196" s="130"/>
      <c r="AM196" s="155"/>
      <c r="AN196" s="134"/>
      <c r="AO196" s="134"/>
      <c r="AP196" s="135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L196" s="130"/>
      <c r="CM196" s="130"/>
      <c r="CN196" s="130"/>
      <c r="CO196" s="130"/>
      <c r="CP196" s="130"/>
      <c r="CQ196" s="130"/>
      <c r="CR196" s="130"/>
      <c r="CS196" s="130"/>
      <c r="CT196" s="130"/>
      <c r="CU196" s="137"/>
      <c r="CV196" s="137"/>
      <c r="CW196" s="137"/>
      <c r="CX196" s="137"/>
      <c r="CY196" s="137"/>
      <c r="CZ196" s="137"/>
      <c r="DA196" s="137"/>
    </row>
    <row r="197" spans="1:105" s="136" customFormat="1" ht="16.5" customHeight="1" x14ac:dyDescent="0.5">
      <c r="A197" s="130"/>
      <c r="B197" s="404"/>
      <c r="C197" s="404"/>
      <c r="D197" s="404"/>
      <c r="E197" s="404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30"/>
      <c r="AA197" s="130"/>
      <c r="AB197" s="130"/>
      <c r="AC197" s="130"/>
      <c r="AD197" s="130"/>
      <c r="AE197" s="133"/>
      <c r="AF197" s="391" t="str">
        <f>IF(AE189&gt;AE205,N189,IF(AE189&lt;AE205,N205,""))</f>
        <v/>
      </c>
      <c r="AG197" s="392"/>
      <c r="AH197" s="392"/>
      <c r="AI197" s="392"/>
      <c r="AJ197" s="392"/>
      <c r="AK197" s="392"/>
      <c r="AL197" s="393"/>
      <c r="AM197" s="412"/>
      <c r="AN197" s="134"/>
      <c r="AO197" s="134"/>
      <c r="AP197" s="135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7"/>
      <c r="CV197" s="137"/>
      <c r="CW197" s="137"/>
      <c r="CX197" s="137"/>
      <c r="CY197" s="137"/>
      <c r="CZ197" s="137"/>
      <c r="DA197" s="137"/>
    </row>
    <row r="198" spans="1:105" s="136" customFormat="1" ht="16.5" customHeight="1" thickBot="1" x14ac:dyDescent="0.55000000000000004">
      <c r="A198" s="130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30"/>
      <c r="AA198" s="130"/>
      <c r="AB198" s="130"/>
      <c r="AC198" s="130"/>
      <c r="AD198" s="130"/>
      <c r="AE198" s="133"/>
      <c r="AF198" s="394"/>
      <c r="AG198" s="395"/>
      <c r="AH198" s="395"/>
      <c r="AI198" s="395"/>
      <c r="AJ198" s="395"/>
      <c r="AK198" s="395"/>
      <c r="AL198" s="396"/>
      <c r="AM198" s="413"/>
      <c r="AN198" s="134"/>
      <c r="AO198" s="134"/>
      <c r="AP198" s="135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L198" s="130"/>
      <c r="CM198" s="130"/>
      <c r="CN198" s="130"/>
      <c r="CO198" s="130"/>
      <c r="CP198" s="130"/>
      <c r="CQ198" s="130"/>
      <c r="CR198" s="130"/>
      <c r="CS198" s="130"/>
      <c r="CT198" s="130"/>
      <c r="CU198" s="137"/>
      <c r="CV198" s="137"/>
      <c r="CW198" s="137"/>
      <c r="CX198" s="137"/>
      <c r="CY198" s="137"/>
      <c r="CZ198" s="137"/>
      <c r="DA198" s="137"/>
    </row>
    <row r="199" spans="1:105" s="136" customFormat="1" ht="16.5" customHeight="1" x14ac:dyDescent="0.5">
      <c r="A199" s="375"/>
      <c r="B199" s="414" t="str">
        <f>IF(AND(I55="ANO",BQ40=34),DB95,IF(AND(I55="ANO",BQ40=44),DB95,IF(AND(I55="ANO",BQ40=36),DB115,IF(AND(I55="ANO",BQ40=28),DB126,""))))</f>
        <v/>
      </c>
      <c r="C199" s="415"/>
      <c r="D199" s="415"/>
      <c r="E199" s="416"/>
      <c r="F199" s="398"/>
      <c r="G199" s="152"/>
      <c r="H199" s="138"/>
      <c r="I199" s="131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45"/>
      <c r="AF199" s="420"/>
      <c r="AG199" s="404"/>
      <c r="AH199" s="404"/>
      <c r="AI199" s="404"/>
      <c r="AJ199" s="404"/>
      <c r="AK199" s="404"/>
      <c r="AL199" s="404"/>
      <c r="AM199" s="130"/>
      <c r="AN199" s="134"/>
      <c r="AO199" s="134"/>
      <c r="AP199" s="135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L199" s="130"/>
      <c r="CM199" s="130"/>
      <c r="CN199" s="130"/>
      <c r="CO199" s="130"/>
      <c r="CP199" s="130"/>
      <c r="CQ199" s="130"/>
      <c r="CR199" s="130"/>
      <c r="CS199" s="130"/>
      <c r="CT199" s="130"/>
      <c r="CU199" s="137"/>
      <c r="CV199" s="137"/>
      <c r="CW199" s="137"/>
      <c r="CX199" s="137"/>
      <c r="CY199" s="137"/>
      <c r="CZ199" s="137"/>
      <c r="DA199" s="137"/>
    </row>
    <row r="200" spans="1:105" s="136" customFormat="1" ht="16.5" customHeight="1" thickBot="1" x14ac:dyDescent="0.55000000000000004">
      <c r="A200" s="376"/>
      <c r="B200" s="417"/>
      <c r="C200" s="418"/>
      <c r="D200" s="418"/>
      <c r="E200" s="419"/>
      <c r="F200" s="399"/>
      <c r="G200" s="143"/>
      <c r="H200" s="138"/>
      <c r="I200" s="131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45"/>
      <c r="AF200" s="133"/>
      <c r="AG200" s="133"/>
      <c r="AH200" s="130"/>
      <c r="AI200" s="130"/>
      <c r="AJ200" s="130"/>
      <c r="AK200" s="130"/>
      <c r="AL200" s="130"/>
      <c r="AM200" s="130"/>
      <c r="AN200" s="134"/>
      <c r="AO200" s="134"/>
      <c r="AP200" s="135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L200" s="130"/>
      <c r="CM200" s="130"/>
      <c r="CN200" s="130"/>
      <c r="CO200" s="130"/>
      <c r="CP200" s="130"/>
      <c r="CQ200" s="130"/>
      <c r="CR200" s="130"/>
      <c r="CS200" s="130"/>
      <c r="CT200" s="130"/>
      <c r="CU200" s="137"/>
      <c r="CV200" s="137"/>
      <c r="CW200" s="137"/>
      <c r="CX200" s="137"/>
      <c r="CY200" s="137"/>
      <c r="CZ200" s="137"/>
      <c r="DA200" s="137"/>
    </row>
    <row r="201" spans="1:105" s="136" customFormat="1" ht="16.5" customHeight="1" x14ac:dyDescent="0.5">
      <c r="A201" s="130"/>
      <c r="B201" s="404"/>
      <c r="C201" s="404"/>
      <c r="D201" s="404"/>
      <c r="E201" s="404"/>
      <c r="F201" s="130"/>
      <c r="G201" s="145"/>
      <c r="H201" s="391" t="str">
        <f>IF(AND(I55="ANO",BQ40=61),". . .",IF(AND(I55="ANO",BQ40=32),". . .",IF(AND(I55="ANO",CV40&lt;4,BQ40=42),". . .",IF(AND(I55="ANO",CV40&gt;3,BQ40=42),DB63,IF(AND(I55="ANO",BQ40=33,DD150&gt;0),"1. z baráže",IF(AND(I55="ANO",BQ40=33),DB151,IF(AND(I55="ANO",BQ40=24),DB61,IF(AND(I55="ANO",BQ40=34,F199&gt;F203),B199,IF(AND(I55="ANO",BQ40=34,F199&lt;F203),B203,IF(AND(I55="ANO",BQ40=44,F199&gt;F203),B199,IF(AND(I55="ANO",BQ40=44,F199&lt;F203),B203,IF(AND(I55="ANO",BQ40=36,F199&gt;F203),B199,IF(AND(I55="ANO",BQ40=36,F199&lt;F203),B203,IF(AND(I55="ANO",BQ40=28,F199&gt;F203),B199,IF(AND(I55="ANO",BQ40=28,F199&lt;F203),B203,"")))))))))))))))</f>
        <v/>
      </c>
      <c r="I201" s="392"/>
      <c r="J201" s="408"/>
      <c r="K201" s="409"/>
      <c r="L201" s="409"/>
      <c r="M201" s="405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45"/>
      <c r="AF201" s="133"/>
      <c r="AG201" s="133"/>
      <c r="AH201" s="130"/>
      <c r="AI201" s="130"/>
      <c r="AJ201" s="130"/>
      <c r="AK201" s="130"/>
      <c r="AL201" s="130"/>
      <c r="AM201" s="130"/>
      <c r="AN201" s="134"/>
      <c r="AO201" s="134"/>
      <c r="AP201" s="135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L201" s="130"/>
      <c r="CM201" s="130"/>
      <c r="CN201" s="130"/>
      <c r="CO201" s="130"/>
      <c r="CP201" s="130"/>
      <c r="CQ201" s="130"/>
      <c r="CR201" s="130"/>
      <c r="CS201" s="130"/>
      <c r="CT201" s="130"/>
      <c r="CU201" s="137"/>
      <c r="CV201" s="137"/>
      <c r="CW201" s="137"/>
      <c r="CX201" s="137"/>
      <c r="CY201" s="137"/>
      <c r="CZ201" s="137"/>
      <c r="DA201" s="137"/>
    </row>
    <row r="202" spans="1:105" s="136" customFormat="1" ht="16.5" customHeight="1" thickBot="1" x14ac:dyDescent="0.55000000000000004">
      <c r="A202" s="130"/>
      <c r="B202" s="130"/>
      <c r="C202" s="130"/>
      <c r="D202" s="130"/>
      <c r="E202" s="130"/>
      <c r="F202" s="130"/>
      <c r="G202" s="146"/>
      <c r="H202" s="394"/>
      <c r="I202" s="395"/>
      <c r="J202" s="410"/>
      <c r="K202" s="411"/>
      <c r="L202" s="411"/>
      <c r="M202" s="406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45"/>
      <c r="AF202" s="133"/>
      <c r="AG202" s="133"/>
      <c r="AH202" s="150"/>
      <c r="AI202" s="150"/>
      <c r="AJ202" s="374" t="s">
        <v>238</v>
      </c>
      <c r="AK202" s="374"/>
      <c r="AL202" s="374"/>
      <c r="AM202" s="374"/>
      <c r="AN202" s="374"/>
      <c r="AO202" s="374"/>
      <c r="AP202" s="135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L202" s="130"/>
      <c r="CM202" s="130"/>
      <c r="CN202" s="130"/>
      <c r="CO202" s="130"/>
      <c r="CP202" s="130"/>
      <c r="CQ202" s="130"/>
      <c r="CR202" s="130"/>
      <c r="CS202" s="130"/>
      <c r="CT202" s="130"/>
      <c r="CU202" s="137"/>
      <c r="CV202" s="137"/>
      <c r="CW202" s="137"/>
      <c r="CX202" s="137"/>
      <c r="CY202" s="137"/>
      <c r="CZ202" s="137"/>
      <c r="DA202" s="137"/>
    </row>
    <row r="203" spans="1:105" s="136" customFormat="1" ht="16.5" customHeight="1" x14ac:dyDescent="0.5">
      <c r="A203" s="397"/>
      <c r="B203" s="377" t="str">
        <f>IF(AND(I55="ANO",BQ40=34),DB61,IF(AND(I55="ANO",BQ40=44),DB61,IF(AND(I55="ANO",BQ40=36),DB61,IF(AND(I55="ANO",BQ40=28),DB61,""))))</f>
        <v/>
      </c>
      <c r="C203" s="378"/>
      <c r="D203" s="378"/>
      <c r="E203" s="379"/>
      <c r="F203" s="383"/>
      <c r="G203" s="148"/>
      <c r="H203" s="385"/>
      <c r="I203" s="386"/>
      <c r="J203" s="149"/>
      <c r="K203" s="149"/>
      <c r="L203" s="156"/>
      <c r="M203" s="214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30"/>
      <c r="AA203" s="130"/>
      <c r="AB203" s="130"/>
      <c r="AC203" s="130"/>
      <c r="AD203" s="130"/>
      <c r="AE203" s="145"/>
      <c r="AF203" s="133"/>
      <c r="AG203" s="211"/>
      <c r="AH203" s="387" t="s">
        <v>166</v>
      </c>
      <c r="AI203" s="388"/>
      <c r="AJ203" s="391" t="str">
        <f>IF(AND(I55="ANO",(CV46+CX40+CX42)&gt;8,BQ40=36),DB95,"")</f>
        <v/>
      </c>
      <c r="AK203" s="392"/>
      <c r="AL203" s="392"/>
      <c r="AM203" s="392"/>
      <c r="AN203" s="392"/>
      <c r="AO203" s="393"/>
      <c r="AP203" s="363" t="s">
        <v>203</v>
      </c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L203" s="130"/>
      <c r="CM203" s="130"/>
      <c r="CN203" s="130"/>
      <c r="CO203" s="130"/>
      <c r="CP203" s="130"/>
      <c r="CQ203" s="130"/>
      <c r="CR203" s="130"/>
      <c r="CS203" s="130"/>
      <c r="CT203" s="130"/>
      <c r="CU203" s="137"/>
      <c r="CV203" s="137"/>
      <c r="CW203" s="137"/>
      <c r="CX203" s="137"/>
      <c r="CY203" s="137"/>
      <c r="CZ203" s="137"/>
      <c r="DA203" s="137"/>
    </row>
    <row r="204" spans="1:105" s="136" customFormat="1" ht="16.5" customHeight="1" thickBot="1" x14ac:dyDescent="0.55000000000000004">
      <c r="A204" s="397"/>
      <c r="B204" s="380"/>
      <c r="C204" s="381"/>
      <c r="D204" s="381"/>
      <c r="E204" s="382"/>
      <c r="F204" s="384"/>
      <c r="G204" s="154"/>
      <c r="H204" s="149"/>
      <c r="I204" s="149"/>
      <c r="J204" s="149"/>
      <c r="K204" s="149"/>
      <c r="L204" s="149"/>
      <c r="M204" s="215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30"/>
      <c r="AA204" s="130"/>
      <c r="AB204" s="130"/>
      <c r="AC204" s="130"/>
      <c r="AD204" s="130"/>
      <c r="AE204" s="145"/>
      <c r="AF204" s="133"/>
      <c r="AG204" s="211"/>
      <c r="AH204" s="389"/>
      <c r="AI204" s="390"/>
      <c r="AJ204" s="394"/>
      <c r="AK204" s="395"/>
      <c r="AL204" s="395"/>
      <c r="AM204" s="395"/>
      <c r="AN204" s="395"/>
      <c r="AO204" s="396"/>
      <c r="AP204" s="36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7"/>
      <c r="CV204" s="137"/>
      <c r="CW204" s="137"/>
      <c r="CX204" s="137"/>
      <c r="CY204" s="137"/>
      <c r="CZ204" s="137"/>
      <c r="DA204" s="137"/>
    </row>
    <row r="205" spans="1:105" s="136" customFormat="1" ht="16.5" customHeight="1" x14ac:dyDescent="0.5">
      <c r="A205" s="130"/>
      <c r="B205" s="404"/>
      <c r="C205" s="404"/>
      <c r="D205" s="404"/>
      <c r="E205" s="404"/>
      <c r="F205" s="149"/>
      <c r="G205" s="149"/>
      <c r="H205" s="149"/>
      <c r="I205" s="149"/>
      <c r="J205" s="149"/>
      <c r="K205" s="149"/>
      <c r="L205" s="149"/>
      <c r="M205" s="216"/>
      <c r="N205" s="391" t="str">
        <f>IF(AND(I55="ANO",BQ40=22),DB71,IF(J201&gt;J209,H201,IF(J201&lt;J209,H209,IF(H201=". . .",H209,""))))</f>
        <v/>
      </c>
      <c r="O205" s="392"/>
      <c r="P205" s="392"/>
      <c r="Q205" s="392"/>
      <c r="R205" s="392"/>
      <c r="S205" s="392"/>
      <c r="T205" s="392"/>
      <c r="U205" s="392"/>
      <c r="V205" s="392"/>
      <c r="W205" s="392"/>
      <c r="X205" s="392"/>
      <c r="Y205" s="392"/>
      <c r="Z205" s="392"/>
      <c r="AA205" s="392"/>
      <c r="AB205" s="392"/>
      <c r="AC205" s="392"/>
      <c r="AD205" s="393"/>
      <c r="AE205" s="405"/>
      <c r="AF205" s="133"/>
      <c r="AG205" s="145"/>
      <c r="AH205" s="212"/>
      <c r="AI205" s="212"/>
      <c r="AJ205" s="407"/>
      <c r="AK205" s="407"/>
      <c r="AL205" s="407"/>
      <c r="AM205" s="407"/>
      <c r="AN205" s="407"/>
      <c r="AO205" s="407"/>
      <c r="AP205" s="135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L205" s="130"/>
      <c r="CM205" s="130"/>
      <c r="CN205" s="130"/>
      <c r="CO205" s="130"/>
      <c r="CP205" s="130"/>
      <c r="CQ205" s="130"/>
      <c r="CR205" s="130"/>
      <c r="CS205" s="130"/>
      <c r="CT205" s="130"/>
      <c r="CU205" s="137"/>
      <c r="CV205" s="137"/>
      <c r="CW205" s="137"/>
      <c r="CX205" s="137"/>
      <c r="CY205" s="137"/>
      <c r="CZ205" s="137"/>
      <c r="DA205" s="137"/>
    </row>
    <row r="206" spans="1:105" s="136" customFormat="1" ht="16.5" customHeight="1" thickBot="1" x14ac:dyDescent="0.55000000000000004">
      <c r="A206" s="130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216"/>
      <c r="N206" s="394"/>
      <c r="O206" s="395"/>
      <c r="P206" s="395"/>
      <c r="Q206" s="395"/>
      <c r="R206" s="395"/>
      <c r="S206" s="395"/>
      <c r="T206" s="395"/>
      <c r="U206" s="395"/>
      <c r="V206" s="395"/>
      <c r="W206" s="395"/>
      <c r="X206" s="395"/>
      <c r="Y206" s="395"/>
      <c r="Z206" s="395"/>
      <c r="AA206" s="395"/>
      <c r="AB206" s="395"/>
      <c r="AC206" s="395"/>
      <c r="AD206" s="396"/>
      <c r="AE206" s="406"/>
      <c r="AF206" s="133"/>
      <c r="AG206" s="145"/>
      <c r="AH206" s="130"/>
      <c r="AI206" s="130"/>
      <c r="AJ206" s="130"/>
      <c r="AK206" s="130"/>
      <c r="AL206" s="130"/>
      <c r="AM206" s="130"/>
      <c r="AN206" s="134"/>
      <c r="AO206" s="134"/>
      <c r="AP206" s="135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L206" s="130"/>
      <c r="CM206" s="130"/>
      <c r="CN206" s="130"/>
      <c r="CO206" s="130"/>
      <c r="CP206" s="130"/>
      <c r="CQ206" s="130"/>
      <c r="CR206" s="130"/>
      <c r="CS206" s="130"/>
      <c r="CT206" s="130"/>
      <c r="CU206" s="137"/>
      <c r="CV206" s="137"/>
      <c r="CW206" s="137"/>
      <c r="CX206" s="137"/>
      <c r="CY206" s="137"/>
      <c r="CZ206" s="137"/>
      <c r="DA206" s="137"/>
    </row>
    <row r="207" spans="1:105" s="136" customFormat="1" ht="16.5" customHeight="1" x14ac:dyDescent="0.5">
      <c r="A207" s="375"/>
      <c r="B207" s="414" t="str">
        <f>IF(AND(I55="ANO",BQ40=34),". . .",IF(AND(I55="ANO",CV44&lt;4,BQ40=44),". . .",IF(AND(I55="ANO",CV44&gt;3,BQ40=44),DB85,IF(AND(I55="ANO",BQ40=36,DD155&gt;0),"1. z baráže  D, E, F",IF(AND(I55="ANO",BQ40=36),DB156,IF(AND(I55="ANO",BQ40=28),DB138,""))))))</f>
        <v/>
      </c>
      <c r="C207" s="415"/>
      <c r="D207" s="415"/>
      <c r="E207" s="416"/>
      <c r="F207" s="398"/>
      <c r="G207" s="152"/>
      <c r="H207" s="138"/>
      <c r="I207" s="131"/>
      <c r="J207" s="149"/>
      <c r="K207" s="149"/>
      <c r="L207" s="149"/>
      <c r="M207" s="213"/>
      <c r="N207" s="385"/>
      <c r="O207" s="386"/>
      <c r="P207" s="386"/>
      <c r="Q207" s="386"/>
      <c r="R207" s="386"/>
      <c r="S207" s="386"/>
      <c r="T207" s="386"/>
      <c r="U207" s="386"/>
      <c r="V207" s="386"/>
      <c r="W207" s="386"/>
      <c r="X207" s="386"/>
      <c r="Y207" s="386"/>
      <c r="Z207" s="386"/>
      <c r="AA207" s="386"/>
      <c r="AB207" s="386"/>
      <c r="AC207" s="386"/>
      <c r="AD207" s="386"/>
      <c r="AE207" s="133"/>
      <c r="AF207" s="133"/>
      <c r="AG207" s="211"/>
      <c r="AH207" s="387" t="s">
        <v>155</v>
      </c>
      <c r="AI207" s="388"/>
      <c r="AJ207" s="391" t="str">
        <f>IF(AND(I55="ANO",(CV46+CX40+CX42)&gt;8,BQ40=36),DB106,"")</f>
        <v/>
      </c>
      <c r="AK207" s="392"/>
      <c r="AL207" s="392"/>
      <c r="AM207" s="392"/>
      <c r="AN207" s="392"/>
      <c r="AO207" s="393"/>
      <c r="AP207" s="363" t="s">
        <v>199</v>
      </c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L207" s="130"/>
      <c r="CM207" s="130"/>
      <c r="CN207" s="130"/>
      <c r="CO207" s="130"/>
      <c r="CP207" s="130"/>
      <c r="CQ207" s="130"/>
      <c r="CR207" s="130"/>
      <c r="CS207" s="130"/>
      <c r="CT207" s="130"/>
      <c r="CU207" s="137"/>
      <c r="CV207" s="137"/>
      <c r="CW207" s="137"/>
      <c r="CX207" s="137"/>
      <c r="CY207" s="137"/>
      <c r="CZ207" s="137"/>
      <c r="DA207" s="137"/>
    </row>
    <row r="208" spans="1:105" s="130" customFormat="1" ht="16.5" customHeight="1" thickBot="1" x14ac:dyDescent="0.55000000000000004">
      <c r="A208" s="376"/>
      <c r="B208" s="417"/>
      <c r="C208" s="418"/>
      <c r="D208" s="418"/>
      <c r="E208" s="419"/>
      <c r="F208" s="399"/>
      <c r="G208" s="143"/>
      <c r="H208" s="138"/>
      <c r="I208" s="131"/>
      <c r="J208" s="149"/>
      <c r="K208" s="149"/>
      <c r="L208" s="157"/>
      <c r="M208" s="217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AE208" s="133"/>
      <c r="AF208" s="133"/>
      <c r="AG208" s="211"/>
      <c r="AH208" s="389"/>
      <c r="AI208" s="390"/>
      <c r="AJ208" s="394"/>
      <c r="AK208" s="395"/>
      <c r="AL208" s="395"/>
      <c r="AM208" s="395"/>
      <c r="AN208" s="395"/>
      <c r="AO208" s="396"/>
      <c r="AP208" s="364"/>
      <c r="AQ208" s="136"/>
      <c r="AR208" s="136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36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36"/>
      <c r="CU208" s="137"/>
      <c r="CV208" s="137"/>
      <c r="CW208" s="137"/>
      <c r="CX208" s="137"/>
      <c r="CY208" s="137"/>
      <c r="CZ208" s="137"/>
      <c r="DA208" s="137"/>
    </row>
    <row r="209" spans="1:109" s="130" customFormat="1" ht="16.5" customHeight="1" x14ac:dyDescent="0.5">
      <c r="B209" s="404"/>
      <c r="C209" s="404"/>
      <c r="D209" s="404"/>
      <c r="E209" s="404"/>
      <c r="G209" s="145"/>
      <c r="H209" s="391" t="str">
        <f>IF(AND(I55="ANO",BQ40=61),DB61,IF(AND(I55="ANO",BQ40=32),DB71,IF(AND(I55="ANO",BQ40=42),DB71,IF(AND(I55="ANO",BQ40=33),DB71,IF(AND(I55="ANO",BQ40=24),DB71,IF(AND(I55="ANO",BQ40=34,F207&gt;F211),B207,IF(AND(I55="ANO",BQ40=34,F207&lt;F211),B211,IF(AND(I55="ANO",BQ40=34,B207=". . ."),B211,IF(AND(I55="ANO",BQ40=44,F207&gt;F211),B207,IF(AND(I55="ANO",BQ40=44,F207&lt;F211),B211,IF(AND(I55="ANO",BQ40=44,B207=". . ."),B211,IF(AND(I55="ANO",BQ40=36,F207&gt;F211),B207,IF(AND(I55="ANO",BQ40=36,F207&lt;F211),B211,IF(AND(I55="ANO",BQ40=36,B207=". . ."),B211,IF(AND(I55="ANO",BQ40=28,F207&gt;F211),B207,IF(AND(I55="ANO",BQ40=28,F207&lt;F211),B211,IF(AND(I55="ANO",BQ40=28,B207=". . ."),B211,"")))))))))))))))))</f>
        <v/>
      </c>
      <c r="I209" s="392"/>
      <c r="J209" s="408"/>
      <c r="K209" s="409"/>
      <c r="L209" s="409"/>
      <c r="M209" s="405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AE209" s="133"/>
      <c r="AF209" s="133"/>
      <c r="AG209" s="145"/>
      <c r="AH209" s="212"/>
      <c r="AI209" s="212"/>
      <c r="AJ209" s="407"/>
      <c r="AK209" s="407"/>
      <c r="AL209" s="407"/>
      <c r="AM209" s="407"/>
      <c r="AN209" s="407"/>
      <c r="AO209" s="407"/>
      <c r="AP209" s="135"/>
      <c r="AQ209" s="136"/>
      <c r="AR209" s="136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36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36"/>
      <c r="CU209" s="137"/>
      <c r="CV209" s="137"/>
      <c r="CW209" s="137"/>
      <c r="CX209" s="137"/>
      <c r="CY209" s="137"/>
      <c r="CZ209" s="137"/>
      <c r="DA209" s="137"/>
    </row>
    <row r="210" spans="1:109" s="130" customFormat="1" ht="16.5" customHeight="1" thickBot="1" x14ac:dyDescent="0.55000000000000004">
      <c r="G210" s="146"/>
      <c r="H210" s="394"/>
      <c r="I210" s="395"/>
      <c r="J210" s="410"/>
      <c r="K210" s="411"/>
      <c r="L210" s="411"/>
      <c r="M210" s="406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AE210" s="133"/>
      <c r="AF210" s="133"/>
      <c r="AG210" s="145"/>
      <c r="AN210" s="134"/>
      <c r="AO210" s="134"/>
      <c r="AP210" s="135"/>
      <c r="AQ210" s="136"/>
      <c r="AR210" s="136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36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36"/>
      <c r="CU210" s="137"/>
      <c r="CV210" s="137"/>
      <c r="CW210" s="137"/>
      <c r="CX210" s="137"/>
      <c r="CY210" s="137"/>
      <c r="CZ210" s="137"/>
      <c r="DA210" s="137"/>
    </row>
    <row r="211" spans="1:109" s="130" customFormat="1" ht="16.5" customHeight="1" x14ac:dyDescent="0.5">
      <c r="A211" s="397"/>
      <c r="B211" s="377" t="str">
        <f>IF(AND(I55="ANO",BQ40=34),DB71,IF(AND(I55="ANO",BQ40=44),DB71,IF(AND(I55="ANO",BQ40=36),DB71,IF(AND(I55="ANO",BQ40=28),DB71,""))))</f>
        <v/>
      </c>
      <c r="C211" s="378"/>
      <c r="D211" s="378"/>
      <c r="E211" s="379"/>
      <c r="F211" s="383"/>
      <c r="G211" s="148"/>
      <c r="H211" s="385"/>
      <c r="I211" s="386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AE211" s="133"/>
      <c r="AF211" s="133"/>
      <c r="AG211" s="211"/>
      <c r="AH211" s="387" t="s">
        <v>161</v>
      </c>
      <c r="AI211" s="388"/>
      <c r="AJ211" s="391" t="str">
        <f>IF(AND(I55="ANO",(CV46+CX40+CX42)&gt;8,BQ40=36),DB117,"")</f>
        <v/>
      </c>
      <c r="AK211" s="392"/>
      <c r="AL211" s="392"/>
      <c r="AM211" s="392"/>
      <c r="AN211" s="392"/>
      <c r="AO211" s="393"/>
      <c r="AP211" s="363" t="s">
        <v>202</v>
      </c>
      <c r="AQ211" s="136"/>
      <c r="AR211" s="136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36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36"/>
      <c r="CU211" s="137"/>
      <c r="CV211" s="137"/>
      <c r="CW211" s="137"/>
      <c r="CX211" s="137"/>
      <c r="CY211" s="137"/>
      <c r="CZ211" s="137"/>
      <c r="DA211" s="137"/>
    </row>
    <row r="212" spans="1:109" s="130" customFormat="1" ht="16.5" customHeight="1" thickBot="1" x14ac:dyDescent="0.55000000000000004">
      <c r="A212" s="397"/>
      <c r="B212" s="380"/>
      <c r="C212" s="381"/>
      <c r="D212" s="381"/>
      <c r="E212" s="382"/>
      <c r="F212" s="384"/>
      <c r="G212" s="154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AE212" s="133"/>
      <c r="AF212" s="133"/>
      <c r="AG212" s="211"/>
      <c r="AH212" s="389"/>
      <c r="AI212" s="390"/>
      <c r="AJ212" s="394"/>
      <c r="AK212" s="395"/>
      <c r="AL212" s="395"/>
      <c r="AM212" s="395"/>
      <c r="AN212" s="395"/>
      <c r="AO212" s="396"/>
      <c r="AP212" s="364"/>
      <c r="AQ212" s="136"/>
      <c r="AR212" s="136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36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36"/>
      <c r="CU212" s="137"/>
      <c r="CV212" s="137"/>
      <c r="CW212" s="137"/>
      <c r="CX212" s="137"/>
      <c r="CY212" s="137"/>
      <c r="CZ212" s="137"/>
      <c r="DA212" s="137"/>
    </row>
    <row r="213" spans="1:109" s="130" customFormat="1" ht="15.75" customHeight="1" x14ac:dyDescent="0.5">
      <c r="B213" s="404"/>
      <c r="C213" s="404"/>
      <c r="D213" s="404"/>
      <c r="E213" s="404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AE213" s="133"/>
      <c r="AF213" s="133"/>
      <c r="AG213" s="133"/>
      <c r="AH213" s="212"/>
      <c r="AI213" s="212"/>
      <c r="AJ213" s="407"/>
      <c r="AK213" s="407"/>
      <c r="AL213" s="407"/>
      <c r="AM213" s="407"/>
      <c r="AN213" s="407"/>
      <c r="AO213" s="407"/>
      <c r="AP213" s="135"/>
      <c r="AQ213" s="136"/>
      <c r="AR213" s="136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36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36"/>
      <c r="CU213" s="137"/>
      <c r="CV213" s="137"/>
      <c r="CW213" s="137"/>
      <c r="CX213" s="137"/>
      <c r="CY213" s="137"/>
      <c r="CZ213" s="137"/>
      <c r="DA213" s="137"/>
    </row>
    <row r="214" spans="1:109" s="130" customFormat="1" ht="15.75" customHeight="1" x14ac:dyDescent="0.5">
      <c r="B214" s="15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AE214" s="133"/>
      <c r="AF214" s="133"/>
      <c r="AG214" s="133"/>
      <c r="AN214" s="134"/>
      <c r="AO214" s="134"/>
      <c r="AP214" s="135"/>
      <c r="AQ214" s="136"/>
      <c r="AR214" s="136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36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36"/>
      <c r="CU214" s="137"/>
      <c r="CV214" s="137"/>
      <c r="CW214" s="137"/>
      <c r="CX214" s="137"/>
      <c r="CY214" s="137"/>
      <c r="CZ214" s="137"/>
      <c r="DA214" s="137"/>
    </row>
    <row r="215" spans="1:109" customFormat="1" x14ac:dyDescent="0.5">
      <c r="B215" s="124"/>
      <c r="C215" s="124"/>
      <c r="D215" s="124"/>
      <c r="E215" s="124"/>
      <c r="G215" s="125"/>
      <c r="H215" s="160"/>
      <c r="I215" s="126"/>
      <c r="AE215" s="121"/>
      <c r="AF215" s="127"/>
      <c r="AG215" s="127"/>
      <c r="AN215" s="43"/>
      <c r="AO215" s="43"/>
      <c r="AP215" s="128"/>
      <c r="AQ215" s="107"/>
      <c r="AR215" s="107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7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7"/>
      <c r="CU215" s="11"/>
      <c r="CV215" s="11"/>
      <c r="CW215" s="11"/>
      <c r="CX215" s="11"/>
      <c r="CY215" s="11"/>
      <c r="CZ215" s="11"/>
      <c r="DA215" s="11"/>
    </row>
    <row r="216" spans="1:109" customFormat="1" ht="9" customHeight="1" x14ac:dyDescent="0.4">
      <c r="B216" s="367"/>
      <c r="C216" s="368"/>
      <c r="D216" s="368"/>
      <c r="E216" s="368"/>
      <c r="F216" s="368"/>
      <c r="G216" s="368"/>
      <c r="H216" s="368"/>
      <c r="I216" s="368"/>
      <c r="J216" s="368"/>
      <c r="K216" s="368"/>
      <c r="L216" s="368"/>
      <c r="M216" s="368"/>
      <c r="N216" s="368"/>
      <c r="O216" s="368"/>
      <c r="P216" s="368"/>
      <c r="Q216" s="368"/>
      <c r="R216" s="368"/>
      <c r="S216" s="368"/>
      <c r="T216" s="368"/>
      <c r="U216" s="368"/>
      <c r="V216" s="368"/>
      <c r="W216" s="368"/>
      <c r="X216" s="368"/>
      <c r="Y216" s="368"/>
      <c r="Z216" s="368"/>
      <c r="AA216" s="368"/>
      <c r="AB216" s="368"/>
      <c r="AC216" s="368"/>
      <c r="AD216" s="368"/>
      <c r="AE216" s="368"/>
      <c r="AF216" s="368"/>
      <c r="AG216" s="368"/>
      <c r="AH216" s="368"/>
      <c r="AI216" s="368"/>
      <c r="AJ216" s="368"/>
      <c r="AK216" s="368"/>
      <c r="AL216" s="368"/>
      <c r="AM216" s="368"/>
      <c r="AN216" s="368"/>
      <c r="AO216" s="368"/>
      <c r="AP216" s="368"/>
      <c r="AQ216" s="369"/>
      <c r="AR216" s="107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7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7"/>
      <c r="CU216" s="11"/>
      <c r="CV216" s="11"/>
      <c r="CW216" s="11"/>
      <c r="CX216" s="11"/>
      <c r="CY216" s="11"/>
      <c r="CZ216" s="11"/>
      <c r="DA216" s="11"/>
    </row>
    <row r="217" spans="1:109" customFormat="1" ht="15.75" customHeight="1" x14ac:dyDescent="0.4"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AE217" s="127"/>
      <c r="AF217" s="127"/>
      <c r="AG217" s="127"/>
      <c r="AN217" s="43"/>
      <c r="AO217" s="43"/>
      <c r="AP217" s="128"/>
      <c r="AQ217" s="107"/>
      <c r="AR217" s="107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7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7"/>
      <c r="CU217" s="11"/>
      <c r="CV217" s="11"/>
      <c r="CW217" s="11"/>
      <c r="CX217" s="11"/>
      <c r="CY217" s="11"/>
      <c r="CZ217" s="11"/>
      <c r="DA217" s="11"/>
    </row>
    <row r="218" spans="1:109" ht="30.75" customHeight="1" x14ac:dyDescent="0.4">
      <c r="B218" s="1"/>
      <c r="F218" s="444" t="str">
        <f>IF(ISBLANK(B14),"Výsledková listina",CONCATENATE("Výsledková listina - ",B14))</f>
        <v>Výsledková listina</v>
      </c>
      <c r="G218" s="445"/>
      <c r="H218" s="445"/>
      <c r="I218" s="445"/>
      <c r="J218" s="445"/>
      <c r="K218" s="445"/>
      <c r="L218" s="445"/>
      <c r="M218" s="445"/>
      <c r="N218" s="445"/>
      <c r="O218" s="445"/>
      <c r="P218" s="445"/>
      <c r="Q218" s="445"/>
      <c r="R218" s="445"/>
      <c r="S218" s="445"/>
      <c r="T218" s="445"/>
      <c r="U218" s="445"/>
      <c r="V218" s="445"/>
      <c r="W218" s="445"/>
      <c r="X218" s="445"/>
      <c r="Y218" s="445"/>
      <c r="Z218" s="445"/>
      <c r="AA218" s="445"/>
      <c r="AB218" s="445"/>
      <c r="AC218" s="445"/>
      <c r="AD218" s="445"/>
      <c r="AE218" s="445"/>
      <c r="AF218" s="445"/>
      <c r="AG218" s="445"/>
      <c r="AH218" s="445"/>
      <c r="AI218" s="445"/>
      <c r="AJ218" s="445"/>
      <c r="AK218" s="445"/>
      <c r="AL218" s="445"/>
      <c r="AM218" s="445"/>
      <c r="AN218" s="445"/>
      <c r="AO218" s="446"/>
      <c r="AP218" s="162"/>
      <c r="AQ218" s="162"/>
      <c r="AR218" s="162"/>
      <c r="AS218" s="162"/>
      <c r="AT218" s="162"/>
      <c r="AU218" s="162"/>
      <c r="AV218" s="8"/>
      <c r="AW218" s="9"/>
      <c r="AY218" s="10"/>
      <c r="AZ218" s="10"/>
      <c r="BA218" s="10"/>
      <c r="BB218" s="10"/>
      <c r="BP218" s="9"/>
      <c r="BS218" s="10"/>
      <c r="BT218" s="10"/>
      <c r="CA218" s="9"/>
      <c r="CB218" s="9"/>
      <c r="CC218" s="9"/>
      <c r="CD218" s="9"/>
      <c r="CE218" s="8"/>
      <c r="CF218" s="10"/>
      <c r="CG218" s="10"/>
      <c r="CH218" s="10"/>
      <c r="CK218" s="9"/>
      <c r="CL218" s="9"/>
      <c r="CM218" s="9"/>
      <c r="CN218" s="9"/>
      <c r="CO218" s="8"/>
      <c r="CP218" s="1"/>
      <c r="CU218"/>
      <c r="CV218"/>
      <c r="CW218"/>
      <c r="CX218"/>
      <c r="DB218" s="11"/>
      <c r="DC218" s="11"/>
      <c r="DD218" s="11"/>
      <c r="DE218" s="11"/>
    </row>
    <row r="219" spans="1:109" ht="30.75" customHeight="1" x14ac:dyDescent="0.4">
      <c r="B219" s="1"/>
      <c r="F219" s="447" t="str">
        <f>IF(ISBLANK(B8),"",CONCATENATE("(",(TEXT(B8,"d.m.rrrr")),", ",B11," - ",BG30,", ",BG31,")"))</f>
        <v/>
      </c>
      <c r="G219" s="448"/>
      <c r="H219" s="448"/>
      <c r="I219" s="448"/>
      <c r="J219" s="448"/>
      <c r="K219" s="448"/>
      <c r="L219" s="448"/>
      <c r="M219" s="448"/>
      <c r="N219" s="448"/>
      <c r="O219" s="448"/>
      <c r="P219" s="448"/>
      <c r="Q219" s="448"/>
      <c r="R219" s="448"/>
      <c r="S219" s="448"/>
      <c r="T219" s="448"/>
      <c r="U219" s="448"/>
      <c r="V219" s="448"/>
      <c r="W219" s="448"/>
      <c r="X219" s="448"/>
      <c r="Y219" s="448"/>
      <c r="Z219" s="448"/>
      <c r="AA219" s="448"/>
      <c r="AB219" s="448"/>
      <c r="AC219" s="448"/>
      <c r="AD219" s="448"/>
      <c r="AE219" s="448"/>
      <c r="AF219" s="448"/>
      <c r="AG219" s="448"/>
      <c r="AH219" s="448"/>
      <c r="AI219" s="448"/>
      <c r="AJ219" s="448"/>
      <c r="AK219" s="448"/>
      <c r="AL219" s="448"/>
      <c r="AM219" s="448"/>
      <c r="AN219" s="448"/>
      <c r="AO219" s="449"/>
      <c r="AP219" s="163"/>
      <c r="AQ219" s="161"/>
      <c r="AR219" s="163"/>
      <c r="AS219" s="163"/>
      <c r="AT219" s="163"/>
      <c r="AU219" s="173"/>
      <c r="AV219" s="174"/>
      <c r="AW219" s="175"/>
      <c r="AX219" s="64"/>
      <c r="AY219" s="64"/>
      <c r="AZ219" s="64"/>
      <c r="BA219" s="64"/>
      <c r="BB219" s="64"/>
      <c r="BC219" s="175"/>
      <c r="BD219" s="175"/>
      <c r="BE219" s="175"/>
      <c r="BF219" s="176"/>
      <c r="BI219" s="173"/>
      <c r="BJ219" s="174"/>
      <c r="BK219" s="175"/>
      <c r="BL219" s="64"/>
      <c r="BM219" s="64"/>
      <c r="BN219" s="64"/>
      <c r="BO219" s="64"/>
      <c r="BP219" s="64"/>
      <c r="BQ219" s="175"/>
      <c r="BR219" s="175"/>
      <c r="BS219" s="175"/>
      <c r="BT219" s="176"/>
      <c r="CA219" s="9"/>
      <c r="CB219" s="9"/>
      <c r="CC219" s="9"/>
      <c r="CD219" s="9"/>
      <c r="CE219" s="8"/>
      <c r="CF219" s="10"/>
      <c r="CG219" s="10"/>
      <c r="CH219" s="10"/>
      <c r="CK219" s="9"/>
      <c r="CL219" s="9"/>
      <c r="CM219" s="9"/>
      <c r="CN219" s="9"/>
      <c r="CO219" s="8"/>
      <c r="CP219" s="1"/>
      <c r="CU219"/>
      <c r="CV219"/>
      <c r="CW219"/>
      <c r="CX219"/>
      <c r="DB219" s="11"/>
      <c r="DC219" s="11"/>
      <c r="DD219" s="11"/>
      <c r="DE219" s="11"/>
    </row>
    <row r="220" spans="1:109" ht="8.25" customHeight="1" x14ac:dyDescent="0.4">
      <c r="B220" s="1"/>
      <c r="F220"/>
      <c r="G220" s="278"/>
      <c r="H220" s="278"/>
      <c r="I220" s="278"/>
      <c r="J220" s="278"/>
      <c r="K220" s="278"/>
      <c r="L220" s="278"/>
      <c r="M220" s="278"/>
      <c r="N220" s="278"/>
      <c r="O220" s="278"/>
      <c r="P220" s="454"/>
      <c r="Q220" s="278"/>
      <c r="R220" s="278"/>
      <c r="S220" s="454"/>
      <c r="T220" s="278"/>
      <c r="U220" s="278"/>
      <c r="W220" s="278"/>
      <c r="X220" s="278"/>
      <c r="Y220" s="278"/>
      <c r="Z220" s="278"/>
      <c r="AA220" s="278"/>
      <c r="AB220" s="278"/>
      <c r="AC220" s="278"/>
      <c r="AD220" s="278"/>
      <c r="AE220" s="278"/>
      <c r="AF220" s="278"/>
      <c r="AG220" s="278"/>
      <c r="AH220" s="278"/>
      <c r="AI220" s="278"/>
      <c r="AJ220" s="278"/>
      <c r="AK220" s="278"/>
      <c r="AL220" s="278"/>
      <c r="AM220" s="278"/>
      <c r="AN220" s="1"/>
      <c r="AO220" s="1"/>
      <c r="AP220" s="1"/>
      <c r="AQ220"/>
      <c r="AR220" s="6"/>
      <c r="AS220" s="6"/>
      <c r="AT220" s="7"/>
      <c r="AU220" s="8"/>
      <c r="AV220" s="8"/>
      <c r="AW220" s="9"/>
      <c r="AY220" s="10"/>
      <c r="AZ220" s="10"/>
      <c r="BA220" s="10"/>
      <c r="BB220" s="10"/>
      <c r="BG220" s="1"/>
      <c r="BI220" s="8"/>
      <c r="BJ220" s="8"/>
      <c r="BL220" s="10"/>
      <c r="BM220" s="10"/>
      <c r="BN220" s="10"/>
      <c r="BO220" s="10"/>
      <c r="CA220" s="9"/>
      <c r="CB220" s="9"/>
      <c r="CC220" s="9"/>
      <c r="CD220" s="9"/>
      <c r="CE220" s="8"/>
      <c r="CF220" s="10"/>
      <c r="CG220" s="10"/>
      <c r="CH220" s="10"/>
      <c r="CK220" s="9"/>
      <c r="CL220" s="9"/>
      <c r="CM220" s="9"/>
      <c r="CN220" s="9"/>
      <c r="CO220" s="8"/>
      <c r="CP220" s="1"/>
      <c r="CU220"/>
      <c r="CV220"/>
      <c r="CW220"/>
      <c r="CX220"/>
      <c r="DB220" s="11"/>
      <c r="DC220" s="11"/>
      <c r="DD220" s="11"/>
      <c r="DE220" s="11"/>
    </row>
    <row r="221" spans="1:109" ht="33" customHeight="1" x14ac:dyDescent="0.4">
      <c r="B221" s="1"/>
      <c r="E221" s="12" t="s">
        <v>279</v>
      </c>
      <c r="F221" s="164" t="s">
        <v>239</v>
      </c>
      <c r="G221" s="450" t="s">
        <v>10</v>
      </c>
      <c r="H221" s="451"/>
      <c r="I221" s="451"/>
      <c r="J221" s="451"/>
      <c r="K221" s="452"/>
      <c r="L221" s="450" t="s">
        <v>11</v>
      </c>
      <c r="M221" s="451"/>
      <c r="N221" s="451"/>
      <c r="O221" s="452"/>
      <c r="P221" s="453" t="s">
        <v>240</v>
      </c>
      <c r="Q221" s="451"/>
      <c r="R221" s="452"/>
      <c r="S221" s="453" t="s">
        <v>241</v>
      </c>
      <c r="T221" s="451"/>
      <c r="U221" s="452"/>
      <c r="V221" s="165"/>
      <c r="W221" s="450" t="s">
        <v>239</v>
      </c>
      <c r="X221" s="451"/>
      <c r="Y221" s="451"/>
      <c r="Z221" s="452"/>
      <c r="AA221" s="450" t="s">
        <v>10</v>
      </c>
      <c r="AB221" s="451"/>
      <c r="AC221" s="451"/>
      <c r="AD221" s="451"/>
      <c r="AE221" s="451"/>
      <c r="AF221" s="451"/>
      <c r="AG221" s="451"/>
      <c r="AH221" s="451"/>
      <c r="AI221" s="451"/>
      <c r="AJ221" s="451"/>
      <c r="AK221" s="452"/>
      <c r="AL221" s="450" t="s">
        <v>11</v>
      </c>
      <c r="AM221" s="452"/>
      <c r="AN221" s="166" t="s">
        <v>240</v>
      </c>
      <c r="AO221" s="166" t="s">
        <v>241</v>
      </c>
      <c r="AP221" s="1"/>
      <c r="AQ221"/>
      <c r="AR221" s="6"/>
      <c r="AS221" s="6"/>
      <c r="AT221" s="177" t="s">
        <v>252</v>
      </c>
      <c r="AU221" s="177" t="s">
        <v>9</v>
      </c>
      <c r="AV221" s="54" t="s">
        <v>251</v>
      </c>
      <c r="AW221" s="177" t="s">
        <v>125</v>
      </c>
      <c r="AX221" s="177" t="s">
        <v>115</v>
      </c>
      <c r="AY221" s="54">
        <v>32</v>
      </c>
      <c r="AZ221" s="54">
        <v>42</v>
      </c>
      <c r="BA221" s="54">
        <v>33</v>
      </c>
      <c r="BB221" s="54">
        <v>24</v>
      </c>
      <c r="BC221" s="54">
        <v>34</v>
      </c>
      <c r="BD221" s="177" t="s">
        <v>94</v>
      </c>
      <c r="BE221" s="177" t="s">
        <v>60</v>
      </c>
      <c r="BF221" s="177" t="s">
        <v>132</v>
      </c>
      <c r="BH221" s="177" t="s">
        <v>252</v>
      </c>
      <c r="BI221" s="177" t="s">
        <v>9</v>
      </c>
      <c r="BJ221" s="54" t="s">
        <v>251</v>
      </c>
      <c r="BK221" s="177" t="s">
        <v>125</v>
      </c>
      <c r="BL221" s="177" t="s">
        <v>115</v>
      </c>
      <c r="BM221" s="54">
        <v>32</v>
      </c>
      <c r="BN221" s="54">
        <v>42</v>
      </c>
      <c r="BO221" s="54">
        <v>33</v>
      </c>
      <c r="BP221" s="54">
        <v>24</v>
      </c>
      <c r="BQ221" s="54">
        <v>34</v>
      </c>
      <c r="BR221" s="177" t="s">
        <v>94</v>
      </c>
      <c r="BS221" s="177" t="s">
        <v>60</v>
      </c>
      <c r="BT221" s="177" t="s">
        <v>132</v>
      </c>
      <c r="CA221" s="9"/>
      <c r="CB221" s="9"/>
      <c r="CC221" s="9"/>
      <c r="CD221" s="9"/>
      <c r="CE221" s="8"/>
      <c r="CF221" s="10"/>
      <c r="CG221" s="10"/>
      <c r="CH221" s="10"/>
      <c r="CK221" s="9"/>
      <c r="CL221" s="9"/>
      <c r="CM221" s="9"/>
      <c r="CN221" s="9"/>
      <c r="CO221" s="8"/>
      <c r="CP221" s="1"/>
      <c r="CU221"/>
      <c r="CV221"/>
      <c r="CW221"/>
      <c r="CX221"/>
      <c r="DB221" s="11"/>
      <c r="DC221" s="11"/>
      <c r="DD221" s="11"/>
      <c r="DE221" s="11"/>
    </row>
    <row r="222" spans="1:109" ht="19.5" customHeight="1" x14ac:dyDescent="0.4">
      <c r="B222" s="1"/>
      <c r="E222" s="181">
        <v>1</v>
      </c>
      <c r="F222" s="36" t="str">
        <f>IF(AND(I51="ANO",CP61&gt;0,BQ40&gt;0),"1.","")</f>
        <v/>
      </c>
      <c r="G222" s="457" t="e">
        <f>IF(AND(I51="ANO",(CP185+CP186)=2,AM165&gt;AM197),AF165,IF(AND(I51="ANO",(CP185+CP186)=2,AM165&lt;AM197),AF197,""))</f>
        <v>#VALUE!</v>
      </c>
      <c r="H222" s="458"/>
      <c r="I222" s="458"/>
      <c r="J222" s="458"/>
      <c r="K222" s="459"/>
      <c r="L222" s="455" t="e">
        <f>(VLOOKUP(G222,$CP$5:$CQ$60,2,0))</f>
        <v>#VALUE!</v>
      </c>
      <c r="M222" s="460"/>
      <c r="N222" s="460"/>
      <c r="O222" s="456"/>
      <c r="P222" s="461" t="str">
        <f>IF(AND(I51="ANO",BL38=4,CP61&gt;7),10,IF(AND(I51="ANO",BL38=4,CP61&gt;0,CP61&lt;8),0,IF(AND(I51="ANO",BL38=3,CP61&gt;7),80,IF(AND(I51="ANO",BL38=3,CP61&gt;0,CP61&lt;8),0,""))))</f>
        <v/>
      </c>
      <c r="Q222" s="458"/>
      <c r="R222" s="459"/>
      <c r="S222" s="462"/>
      <c r="T222" s="463"/>
      <c r="U222" s="464"/>
      <c r="V222" s="132"/>
      <c r="W222" s="457" t="str">
        <f>IF(AND(I51="ANO",(CV40+CV42+CV44+CV46+CX40+CX42)&gt;28,BQ40=36),"25.",IF(AND(I51="ANO",(CV40+CV42+CV44+CV46+CX40+CX42+CX44+CX46)&gt;28,BQ40=28),"25.",IF(AND(I51="ANO",(CV40+CV42+CV44+CV46+CX40+CX42+CX44+CX46)&gt;28,BQ40=38),"25.",IF(AND(I51="ANO",(CV40+CV42+CV44+CV46+CX40+CX42+CX44+CX46)&gt;28,BQ40=48),"25.",""))))</f>
        <v/>
      </c>
      <c r="X222" s="458"/>
      <c r="Y222" s="458"/>
      <c r="Z222" s="459"/>
      <c r="AA222" s="457" t="str">
        <f>BH222</f>
        <v/>
      </c>
      <c r="AB222" s="458"/>
      <c r="AC222" s="458"/>
      <c r="AD222" s="458"/>
      <c r="AE222" s="458"/>
      <c r="AF222" s="458"/>
      <c r="AG222" s="458"/>
      <c r="AH222" s="458"/>
      <c r="AI222" s="458"/>
      <c r="AJ222" s="458"/>
      <c r="AK222" s="459"/>
      <c r="AL222" s="455" t="e">
        <f>(VLOOKUP(AA222,$CP$5:$CQ$60,2,0))</f>
        <v>#N/A</v>
      </c>
      <c r="AM222" s="456"/>
      <c r="AN222" s="36" t="str">
        <f>IF(AND(I51="ANO",BL38=4,CP61&gt;28),0,IF(AND(I51="ANO",BL38=3,BQ40=36,W222="25."),10,IF(AND(I51="ANO",BL38=3,BQ40=28,W222="25."),10,"")))</f>
        <v/>
      </c>
      <c r="AO222" s="167"/>
      <c r="AP222" s="182">
        <v>29</v>
      </c>
      <c r="AQ222"/>
      <c r="AR222" s="6"/>
      <c r="AS222" s="6"/>
      <c r="AT222" s="110"/>
      <c r="AU222" s="178" t="s">
        <v>21</v>
      </c>
      <c r="AV222" s="179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H222" s="54" t="str">
        <f>IF(AND($I$51="ANO",$BQ$40=36),BS222,IF(AND($I$51="ANO",$BQ$40=28),BT222,""))</f>
        <v/>
      </c>
      <c r="BI222" s="179" t="s">
        <v>22</v>
      </c>
      <c r="BJ222" s="179" t="str">
        <f>IF(AND(I51="ANO",DE107=5,DB107&lt;&gt;G246,DB107&lt;&gt;G247,DB107&lt;&gt;G248,DB107&lt;&gt;G249,BQ40=28),DB107,IF(AND(I51="ANO",DE118=6,DB118&lt;&gt;G246,DB118&lt;&gt;G247,DB118&lt;&gt;G248,DB118&lt;&gt;G249,BQ40=28),DB118,IF(AND(I51="ANO",DE129=7,DB129&lt;&gt;G246,DB129&lt;&gt;G247,DB129&lt;&gt;G248,DB129&lt;&gt;G249,BQ40=28),DB129,IF(AND(I51="ANO",DE140=8,DB140&lt;&gt;G246,DB140&lt;&gt;G247,DB140&lt;&gt;G248,DB140&lt;&gt;G249,BQ40=28),DB140,IF(AND(I51="ANO",DE108=5,DB108&lt;&gt;G246,DB108&lt;&gt;G247,DB108&lt;&gt;G248,DB108&lt;&gt;G249,BQ40=36),DB108,IF(AND(I51="ANO",DE119=6,DB119&lt;&gt;G246,DB119&lt;&gt;G247,DB119&lt;&gt;G248,DB119&lt;&gt;G249,BQ40=36),DB119,""))))))</f>
        <v/>
      </c>
      <c r="BK222" s="54"/>
      <c r="BL222" s="54"/>
      <c r="BM222" s="54"/>
      <c r="BN222" s="54"/>
      <c r="BO222" s="54"/>
      <c r="BP222" s="54"/>
      <c r="BQ222" s="54"/>
      <c r="BR222" s="54"/>
      <c r="BS222" s="54" t="b">
        <f>IF(AND(I51="ANO",DE108=5,DB108&lt;&gt;G246,DB108&lt;&gt;G247,DB108&lt;&gt;G248,DB108&lt;&gt;G249,BQ40=36),DB108,IF(AND(I51="ANO",DE119=6,DB119&lt;&gt;G246,DB119&lt;&gt;G247,DB119&lt;&gt;G248,DB119&lt;&gt;G249,BQ40=36),DB119))</f>
        <v>0</v>
      </c>
      <c r="BT222" s="54" t="b">
        <f>IF(AND(I51="ANO",DE107=5,DB107&lt;&gt;G246,DB107&lt;&gt;G247,DB107&lt;&gt;G248,DB107&lt;&gt;G249,BQ40=28),DB107,IF(AND(I51="ANO",DE118=6,DB118&lt;&gt;G246,DB118&lt;&gt;G247,DB118&lt;&gt;G248,DB118&lt;&gt;G249,BQ40=28),DB118,IF(AND(I51="ANO",DE129=7,DB129&lt;&gt;G246,DB129&lt;&gt;G247,DB129&lt;&gt;G248,DB129&lt;&gt;G249,BQ40=28),DB129,IF(AND(I51="ANO",DE140=8,DB140&lt;&gt;G246,DB140&lt;&gt;G247,DB140&lt;&gt;G248,DB140&lt;&gt;G249,BQ40=28),DB140))))</f>
        <v>0</v>
      </c>
      <c r="CA222" s="9"/>
      <c r="CB222" s="9"/>
      <c r="CC222" s="9"/>
      <c r="CD222" s="9"/>
      <c r="CE222" s="8"/>
      <c r="CF222" s="10"/>
      <c r="CG222" s="10"/>
      <c r="CH222" s="10"/>
      <c r="CK222" s="9"/>
      <c r="CL222" s="9"/>
      <c r="CM222" s="9"/>
      <c r="CN222" s="9"/>
      <c r="CO222" s="8"/>
      <c r="CP222" s="1"/>
      <c r="CU222"/>
      <c r="CV222"/>
      <c r="CW222"/>
      <c r="CX222"/>
      <c r="DB222" s="11"/>
      <c r="DC222" s="11"/>
      <c r="DD222" s="11"/>
      <c r="DE222" s="11"/>
    </row>
    <row r="223" spans="1:109" ht="19.5" customHeight="1" x14ac:dyDescent="0.4">
      <c r="B223" s="1"/>
      <c r="E223" s="181">
        <v>2</v>
      </c>
      <c r="F223" s="36" t="str">
        <f>IF(AND(I51="ANO",CP61&gt;1,BQ40&gt;0),"2.","")</f>
        <v/>
      </c>
      <c r="G223" s="457" t="e">
        <f>IF(AND(I51="ANO",(CP185+CP186)=2,AM165&lt;AM197),AF165,IF(AND(I51="ANO",(CP185+CP186)=2,AM165&gt;AM197),AF197,""))</f>
        <v>#VALUE!</v>
      </c>
      <c r="H223" s="458"/>
      <c r="I223" s="458"/>
      <c r="J223" s="458"/>
      <c r="K223" s="459"/>
      <c r="L223" s="455" t="e">
        <f t="shared" ref="L223:L249" si="210">(VLOOKUP(G223,$CP$5:$CQ$60,2,0))</f>
        <v>#VALUE!</v>
      </c>
      <c r="M223" s="460"/>
      <c r="N223" s="460"/>
      <c r="O223" s="456"/>
      <c r="P223" s="461" t="str">
        <f>IF(AND(I51="ANO",BL38=4,CP61&gt;7),6,IF(AND(I51="ANO",BL38=4,CP61&gt;1,CP61&lt;8),0,IF(AND(I51="ANO",BL38=3,CP61&gt;7),60,IF(AND(I51="ANO",BL38=3,CP61&gt;1,CP61&lt;8),0,""))))</f>
        <v/>
      </c>
      <c r="Q223" s="458"/>
      <c r="R223" s="459"/>
      <c r="S223" s="462"/>
      <c r="T223" s="463"/>
      <c r="U223" s="464"/>
      <c r="V223" s="132"/>
      <c r="W223" s="457" t="str">
        <f>IF(AND(I51="ANO",(CV40+CV42+CV44+CV46+CX40+CX42)&gt;29,BQ40=36),"25.",IF(AND(I51="ANO",(CV40+CV42+CV44+CV46+CX40+CX42+CX44+CX46)&gt;29,BQ40=28),"25.",IF(AND(I51="ANO",(CV40+CV42+CV44+CV46+CX40+CX42+CX44+CX46)&gt;29,BQ40=38),"25.",IF(AND(I51="ANO",(CV40+CV42+CV44+CV46+CX40+CX42+CX44+CX46)&gt;29,BQ40=48),"25.",""))))</f>
        <v/>
      </c>
      <c r="X223" s="458"/>
      <c r="Y223" s="458"/>
      <c r="Z223" s="459"/>
      <c r="AA223" s="457" t="str">
        <f t="shared" ref="AA223:AA240" si="211">BH223</f>
        <v/>
      </c>
      <c r="AB223" s="458"/>
      <c r="AC223" s="458"/>
      <c r="AD223" s="458"/>
      <c r="AE223" s="458"/>
      <c r="AF223" s="458"/>
      <c r="AG223" s="458"/>
      <c r="AH223" s="458"/>
      <c r="AI223" s="458"/>
      <c r="AJ223" s="458"/>
      <c r="AK223" s="459"/>
      <c r="AL223" s="455" t="e">
        <f t="shared" ref="AL223:AL249" si="212">(VLOOKUP(AA223,$CP$5:$CQ$60,2,0))</f>
        <v>#N/A</v>
      </c>
      <c r="AM223" s="456"/>
      <c r="AN223" s="36" t="str">
        <f>IF(AND(I51="ANO",BL38=4,CP61&gt;29),0,IF(AND(I51="ANO",BL38=3,BQ40=36,W223="25."),10,IF(AND(I51="ANO",BL38=3,BQ40=28,W223="25."),10,"")))</f>
        <v/>
      </c>
      <c r="AO223" s="167"/>
      <c r="AP223" s="182">
        <v>30</v>
      </c>
      <c r="AQ223"/>
      <c r="AR223" s="6"/>
      <c r="AS223" s="6"/>
      <c r="AT223" s="110"/>
      <c r="AU223" s="178" t="s">
        <v>29</v>
      </c>
      <c r="AV223" s="179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H223" s="54" t="str">
        <f t="shared" ref="BH223:BH249" si="213">IF(AND($I$51="ANO",$BQ$40=36),BS223,IF(AND($I$51="ANO",$BQ$40=28),BT223,""))</f>
        <v/>
      </c>
      <c r="BI223" s="179" t="s">
        <v>30</v>
      </c>
      <c r="BJ223" s="179" t="str">
        <f>IF(AND(I51="ANO",DE118=6,DB118&lt;&gt;G246,DB118&lt;&gt;G247,DB118&lt;&gt;G248,DB118&lt;&gt;G249,DB118&lt;&gt;AA222,BQ40=28),DB118,IF(AND(I51="ANO",DE129=7,DB129&lt;&gt;G246,DB129&lt;&gt;G247,DB129&lt;&gt;G248,DB129&lt;&gt;G249,DB129&lt;&gt;AA222,BQ40=28),DB129,IF(AND(I51="ANO",DE140=8,DB140&lt;&gt;G246,DB140&lt;&gt;G247,DB140&lt;&gt;G248,DB140&lt;&gt;G249,DB140&lt;&gt;AA222,BQ40=28),DB140,IF(AND(I51="ANO",DE119=6,DB119&lt;&gt;G246,DB119&lt;&gt;G247,DB119&lt;&gt;G248,DB119&lt;&gt;G249,DB119&lt;&gt;AA222,BQ40=36),DB119,""))))</f>
        <v/>
      </c>
      <c r="BK223" s="54"/>
      <c r="BL223" s="54"/>
      <c r="BM223" s="54"/>
      <c r="BN223" s="54"/>
      <c r="BO223" s="54"/>
      <c r="BP223" s="54"/>
      <c r="BQ223" s="54"/>
      <c r="BR223" s="54"/>
      <c r="BS223" s="54" t="b">
        <f>IF(AND(I51="ANO",DE119=6,DB119&lt;&gt;G246,DB119&lt;&gt;G247,DB119&lt;&gt;G248,DB119&lt;&gt;G249,DB119&lt;&gt;AA222,BQ40=36),DB119)</f>
        <v>0</v>
      </c>
      <c r="BT223" s="54" t="b">
        <f>IF(AND(I51="ANO",DE118=6,DB118&lt;&gt;G246,DB118&lt;&gt;G247,DB118&lt;&gt;G248,DB118&lt;&gt;G249,DB118&lt;&gt;AA222,BQ40=28),DB118,IF(AND(I51="ANO",DE129=7,DB129&lt;&gt;G246,DB129&lt;&gt;G247,DB129&lt;&gt;G248,DB129&lt;&gt;G249,DB129&lt;&gt;AA222,BQ40=28),DB129,IF(AND(I51="ANO",DE140=8,DB140&lt;&gt;G246,DB140&lt;&gt;G247,DB140&lt;&gt;G248,DB140&lt;&gt;G249,DB140&lt;&gt;AA222,BQ40=28),DB140)))</f>
        <v>0</v>
      </c>
      <c r="CA223" s="9"/>
      <c r="CB223" s="9"/>
      <c r="CC223" s="9"/>
      <c r="CD223" s="9"/>
      <c r="CE223" s="8"/>
      <c r="CF223" s="10"/>
      <c r="CG223" s="10"/>
      <c r="CH223" s="10"/>
      <c r="CK223" s="9"/>
      <c r="CL223" s="9"/>
      <c r="CM223" s="9"/>
      <c r="CN223" s="9"/>
      <c r="CO223" s="8"/>
      <c r="CP223" s="1"/>
      <c r="CU223"/>
      <c r="CV223"/>
      <c r="CW223"/>
      <c r="CX223"/>
      <c r="DB223" s="11"/>
      <c r="DC223" s="11"/>
      <c r="DD223" s="11"/>
      <c r="DE223" s="11"/>
    </row>
    <row r="224" spans="1:109" ht="19.5" customHeight="1" x14ac:dyDescent="0.4">
      <c r="B224" s="1"/>
      <c r="E224" s="181">
        <v>3</v>
      </c>
      <c r="F224" s="36" t="str">
        <f>IF(AND(I51="ANO",CP61&gt;2,BQ40&gt;0),"3.","")</f>
        <v/>
      </c>
      <c r="G224" s="457" t="e">
        <f>IF(AND(I51="ANO",(CP179+CP180)=2,AE157&lt;AE173),N157,IF(AND(I51="ANO",(CP179+CP180)=2,AE157&gt;AE173),N173,""))</f>
        <v>#VALUE!</v>
      </c>
      <c r="H224" s="458"/>
      <c r="I224" s="458"/>
      <c r="J224" s="458"/>
      <c r="K224" s="459"/>
      <c r="L224" s="455" t="e">
        <f t="shared" si="210"/>
        <v>#VALUE!</v>
      </c>
      <c r="M224" s="460"/>
      <c r="N224" s="460"/>
      <c r="O224" s="456"/>
      <c r="P224" s="461" t="str">
        <f>IF(AND(I51="ANO",BL38=4,CP61&gt;7),4,IF(AND(I51="ANO",BL38=4,CP61&gt;2,CP61&lt;8),0,IF(AND(I51="ANO",BL38=3,CP61&gt;7),40,IF(AND(I51="ANO",BL38=3,CP61&gt;2,CP61&lt;8),0,""))))</f>
        <v/>
      </c>
      <c r="Q224" s="458"/>
      <c r="R224" s="459"/>
      <c r="S224" s="462"/>
      <c r="T224" s="463"/>
      <c r="U224" s="464"/>
      <c r="V224" s="132"/>
      <c r="W224" s="457" t="str">
        <f>IF(AND(I51="ANO",(CV40+CV42+CV44+CV46+CX40+CX42)&gt;30,BQ40=36),"25.",IF(AND(I51="ANO",(CV40+CV42+CV44+CV46+CX40+CX42+CX44+CX46)&gt;30,BQ40=28),"25.",IF(AND(I51="ANO",(CV40+CV42+CV44+CV46+CX40+CX42+CX44+CX46)&gt;30,BQ40=38),"25.",IF(AND(I51="ANO",(CV40+CV42+CV44+CV46+CX40+CX42+CX44+CX46)&gt;30,BQ40=48),"25.",""))))</f>
        <v/>
      </c>
      <c r="X224" s="458"/>
      <c r="Y224" s="458"/>
      <c r="Z224" s="459"/>
      <c r="AA224" s="457" t="str">
        <f t="shared" si="211"/>
        <v/>
      </c>
      <c r="AB224" s="458"/>
      <c r="AC224" s="458"/>
      <c r="AD224" s="458"/>
      <c r="AE224" s="458"/>
      <c r="AF224" s="458"/>
      <c r="AG224" s="458"/>
      <c r="AH224" s="458"/>
      <c r="AI224" s="458"/>
      <c r="AJ224" s="458"/>
      <c r="AK224" s="459"/>
      <c r="AL224" s="455" t="e">
        <f t="shared" si="212"/>
        <v>#N/A</v>
      </c>
      <c r="AM224" s="456"/>
      <c r="AN224" s="36" t="str">
        <f>IF(AND(I51="ANO",BL38=4,CP61&gt;30),0,IF(AND(I51="ANO",BL38=3,BQ40=36,W224="25."),10,IF(AND(I51="ANO",BL38=3,BQ40=28,W224="25."),10,"")))</f>
        <v/>
      </c>
      <c r="AO224" s="167"/>
      <c r="AP224" s="182">
        <v>31</v>
      </c>
      <c r="AQ224"/>
      <c r="AR224" s="6"/>
      <c r="AS224" s="6"/>
      <c r="AT224" s="110"/>
      <c r="AU224" s="178" t="s">
        <v>36</v>
      </c>
      <c r="AV224" s="179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H224" s="54" t="str">
        <f t="shared" si="213"/>
        <v/>
      </c>
      <c r="BI224" s="179" t="s">
        <v>37</v>
      </c>
      <c r="BJ224" s="179" t="str">
        <f>IF(AND(I51="ANO",DE129=7,DB129&lt;&gt;G246,DB129&lt;&gt;G247,DB129&lt;&gt;G248,DB129&lt;&gt;G249,DB129&lt;&gt;AA222,DB129&lt;&gt;AA223,BQ40=28),DB129,IF(AND(I51="ANO",DE140=8,DB140&lt;&gt;G246,DB140&lt;&gt;G247,DB140&lt;&gt;G248,DB140&lt;&gt;G249,DB140&lt;&gt;AA222,DB140&lt;&gt;AA223,BQ40=28),DB140,IF(AND(I51="ANO",DE65=1,BQ40=36),DB65,IF(AND(I51="ANO",DE76=2,BQ40=36),DB76,IF(AND(I51="ANO",DE87=3,BQ40=36),DB87,IF(AND(I51="ANO",DE98=4,BQ40=36),DB98,IF(AND(I51="ANO",DE109=5,BQ40=36),DB109,IF(AND(I51="ANO",DE120=6,BQ40=36),DB120,""))))))))</f>
        <v/>
      </c>
      <c r="BK224" s="54"/>
      <c r="BL224" s="54"/>
      <c r="BM224" s="54"/>
      <c r="BN224" s="54"/>
      <c r="BO224" s="54"/>
      <c r="BP224" s="54"/>
      <c r="BQ224" s="54"/>
      <c r="BR224" s="54"/>
      <c r="BS224" s="54" t="b">
        <f>IF(AND(I51="ANO",DE65=1,BQ40=36),DB65,IF(AND(I51="ANO",DE76=2,BQ40=36),DB76,IF(AND(I51="ANO",DE87=3,BQ40=36),DB87,IF(AND(I51="ANO",DE98=4,BQ40=36),DB98,IF(AND(I51="ANO",DE109=5,BQ40=36),DB109,IF(AND(I51="ANO",DE120=6,BQ40=36),DB120))))))</f>
        <v>0</v>
      </c>
      <c r="BT224" s="54" t="b">
        <f>IF(AND(I51="ANO",DE129=7,DB129&lt;&gt;G246,DB129&lt;&gt;G247,DB129&lt;&gt;G248,DB129&lt;&gt;G249,DB129&lt;&gt;AA222,DB129&lt;&gt;AA223,BQ40=28),DB129,IF(AND(I51="ANO",DE140=8,DB140&lt;&gt;G246,DB140&lt;&gt;G247,DB140&lt;&gt;G248,DB140&lt;&gt;G249,DB140&lt;&gt;AA222,DB140&lt;&gt;AA223,BQ40=28),DB140))</f>
        <v>0</v>
      </c>
      <c r="CA224" s="9"/>
      <c r="CB224" s="9"/>
      <c r="CC224" s="9"/>
      <c r="CD224" s="9"/>
      <c r="CE224" s="8"/>
      <c r="CF224" s="10"/>
      <c r="CG224" s="10"/>
      <c r="CH224" s="10"/>
      <c r="CK224" s="9"/>
      <c r="CL224" s="9"/>
      <c r="CM224" s="9"/>
      <c r="CN224" s="9"/>
      <c r="CO224" s="8"/>
      <c r="CP224" s="1"/>
      <c r="CU224"/>
      <c r="CV224"/>
      <c r="CW224"/>
      <c r="CX224"/>
      <c r="DB224" s="11"/>
      <c r="DC224" s="11"/>
      <c r="DD224" s="11"/>
      <c r="DE224" s="11"/>
    </row>
    <row r="225" spans="2:109" ht="19.5" customHeight="1" x14ac:dyDescent="0.4">
      <c r="B225" s="1"/>
      <c r="E225" s="181">
        <v>4</v>
      </c>
      <c r="F225" s="36" t="str">
        <f>IF(AND(I51="ANO",CP61&gt;3,BQ40&gt;0),"3.","")</f>
        <v/>
      </c>
      <c r="G225" s="457" t="e">
        <f>IF(AND(I51="ANO",(CP181+CP182)=2,AE189&lt;AE205),N189,IF(AND(I51="ANO",(CP181+CP182)=2,AE189&gt;AE205),N205,""))</f>
        <v>#VALUE!</v>
      </c>
      <c r="H225" s="458"/>
      <c r="I225" s="458"/>
      <c r="J225" s="458"/>
      <c r="K225" s="459"/>
      <c r="L225" s="455" t="e">
        <f t="shared" si="210"/>
        <v>#VALUE!</v>
      </c>
      <c r="M225" s="460"/>
      <c r="N225" s="460"/>
      <c r="O225" s="456"/>
      <c r="P225" s="461" t="str">
        <f>IF(AND(I51="ANO",BL38=4,CP61&gt;7),4,IF(AND(I51="ANO",BL38=4,CP61&gt;3,CP61&lt;8),0,IF(AND(I51="ANO",BL38=3,CP61&gt;7),40,IF(AND(I51="ANO",BL38=3,CP61&gt;3,CP61&lt;8),0,""))))</f>
        <v/>
      </c>
      <c r="Q225" s="458"/>
      <c r="R225" s="459"/>
      <c r="S225" s="462"/>
      <c r="T225" s="463"/>
      <c r="U225" s="464"/>
      <c r="V225" s="132"/>
      <c r="W225" s="457" t="str">
        <f>IF(AND(I51="ANO",(CV40+CV42+CV44+CV46+CX40+CX42)&gt;31,BQ40=36),"25.",IF(AND(I51="ANO",(CV40+CV42+CV44+CV46+CX40+CX42+CX44+CX46)&gt;31,BQ40=28),"25.",IF(AND(I51="ANO",(CV40+CV42+CV44+CV46+CX40+CX42+CX44+CX46)&gt;31,BQ40=38),"25.",IF(AND(I51="ANO",(CV40+CV42+CV44+CV46+CX40+CX42+CX44+CX46)&gt;31,BQ40=48),"25.",""))))</f>
        <v/>
      </c>
      <c r="X225" s="458"/>
      <c r="Y225" s="458"/>
      <c r="Z225" s="459"/>
      <c r="AA225" s="457" t="str">
        <f t="shared" si="211"/>
        <v/>
      </c>
      <c r="AB225" s="458"/>
      <c r="AC225" s="458"/>
      <c r="AD225" s="458"/>
      <c r="AE225" s="458"/>
      <c r="AF225" s="458"/>
      <c r="AG225" s="458"/>
      <c r="AH225" s="458"/>
      <c r="AI225" s="458"/>
      <c r="AJ225" s="458"/>
      <c r="AK225" s="459"/>
      <c r="AL225" s="455" t="e">
        <f t="shared" si="212"/>
        <v>#N/A</v>
      </c>
      <c r="AM225" s="456"/>
      <c r="AN225" s="36" t="str">
        <f>IF(AND(I51="ANO",BL38=4,CP61&gt;31),0,IF(AND(I51="ANO",BL38=3,BQ40=36,W225="25."),10,IF(AND(I51="ANO",BL38=3,BQ40=28,W225="25."),10,"")))</f>
        <v/>
      </c>
      <c r="AO225" s="167"/>
      <c r="AP225" s="182">
        <v>32</v>
      </c>
      <c r="AQ225" s="121"/>
      <c r="AR225" s="6"/>
      <c r="AS225" s="6"/>
      <c r="AT225" s="110"/>
      <c r="AU225" s="178" t="s">
        <v>4</v>
      </c>
      <c r="AV225" s="179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H225" s="54" t="str">
        <f t="shared" si="213"/>
        <v/>
      </c>
      <c r="BI225" s="179" t="s">
        <v>43</v>
      </c>
      <c r="BJ225" s="179" t="str">
        <f>IF(AND(I51="ANO",DE140=8,DB140&lt;&gt;G246,DB140&lt;&gt;G247,DB140&lt;&gt;G248,DB140&lt;&gt;G249,DB140&lt;&gt;AA222,DB140&lt;&gt;AA223,DB140&lt;&gt;AA224,BQ40=28),DB140,IF(AND(I51="ANO",DE76=2,DB76&lt;&gt;AA224,BQ40=36),DB76,IF(AND(I51="ANO",DE87=3,DB87&lt;&gt;AA224,BQ40=36),DB87,IF(AND(I51="ANO",DE98=4,DB98&lt;&gt;AA224,BQ40=36),DB98,IF(AND(I51="ANO",DE109=5,DB109&lt;&gt;AA224,BQ40=36),DB109,IF(AND(I51="ANO",DE120=6,DB120&lt;&gt;AA224,BQ40=36),DB120,""))))))</f>
        <v/>
      </c>
      <c r="BK225" s="54"/>
      <c r="BL225" s="54"/>
      <c r="BM225" s="54"/>
      <c r="BN225" s="54"/>
      <c r="BO225" s="54"/>
      <c r="BP225" s="54"/>
      <c r="BQ225" s="54"/>
      <c r="BR225" s="54"/>
      <c r="BS225" s="54" t="b">
        <f>IF(AND(I51="ANO",DE76=2,DB76&lt;&gt;AA224,BQ40=36),DB76,IF(AND(I51="ANO",DE87=3,DB87&lt;&gt;AA224,BQ40=36),DB87,IF(AND(I51="ANO",DE98=4,DB98&lt;&gt;AA224,BQ40=36),DB98,IF(AND(I51="ANO",DE109=5,DB109&lt;&gt;AA224,BQ40=36),DB109,IF(AND(I51="ANO",DE120=6,DB120&lt;&gt;AA224,BQ40=36),DB120)))))</f>
        <v>0</v>
      </c>
      <c r="BT225" s="54" t="b">
        <f>IF(AND(I51="ANO",DE140=8,DB140&lt;&gt;G246,DB140&lt;&gt;G247,DB140&lt;&gt;G248,DB140&lt;&gt;G249,DB140&lt;&gt;AA222,DB140&lt;&gt;AA223,DB140&lt;&gt;AA224,BQ40=28),DB140)</f>
        <v>0</v>
      </c>
      <c r="CA225" s="9"/>
      <c r="CB225" s="9"/>
      <c r="CC225" s="9"/>
      <c r="CD225" s="9"/>
      <c r="CE225" s="8"/>
      <c r="CF225" s="10"/>
      <c r="CG225" s="10"/>
      <c r="CH225" s="10"/>
      <c r="CK225" s="9"/>
      <c r="CL225" s="9"/>
      <c r="CM225" s="9"/>
      <c r="CN225" s="9"/>
      <c r="CO225" s="8"/>
      <c r="CP225" s="1"/>
      <c r="CU225"/>
      <c r="CV225"/>
      <c r="CW225"/>
      <c r="CX225"/>
      <c r="DB225" s="11"/>
      <c r="DC225" s="11"/>
      <c r="DD225" s="11"/>
      <c r="DE225" s="11"/>
    </row>
    <row r="226" spans="2:109" ht="19.5" customHeight="1" x14ac:dyDescent="0.4">
      <c r="B226" s="1"/>
      <c r="E226" s="181">
        <v>5</v>
      </c>
      <c r="F226" s="36" t="str">
        <f>IF(AND(I51="ANO",CV40&gt;4,BQ40=61),"5.",IF(AND(I51="ANO",(CV40+CV42)&gt;4,BQ40=22),"5.",IF(AND(I51="ANO",(CV40+CV42)&gt;4,BQ40=32),"5.",IF(AND(I51="ANO",(CV40+CV42)&gt;4,BQ40=42),"5.",IF(AND(I51="ANO",(CV40+CV42+CV44)&gt;4,BQ40=33),"5.",IF(AND(I51="ANO",(CV40+CV42+CV44+CV46)&gt;4,BQ40=24),"5.",IF(AND(I51="ANO",(CV40+CV42+CV44+CV46)&gt;9,BQ40=34),"5.",IF(AND(I51="ANO",(CV40+CV42+CV44+CV46)&gt;4,BQ40=44),"5.",IF(AND(I51="ANO",(CV40+CV42+CV44+CV46+CX40+CX42)&gt;4,BQ40=36),"5.",IF(AND(I51="ANO",(CV40+CV42+CV44+CV46+CX40+CX42+CX44+CX46)&gt;4,BQ40=28),"5.",IF(AND(I51="ANO",(CV40+CV42+CV44+CV46+CX40+CX42+CX44+CX46)&gt;4,BQ40=38),"5.",IF(AND(I51="ANO",(CV40+CV42+CV44+CV46+CX40+CX42+CX44+CX46)&gt;4,BQ40=48),"5.",""))))))))))))</f>
        <v/>
      </c>
      <c r="G226" s="457" t="str">
        <f>IF(AT226=FALSE,"",IF(AT226=0,"",AT226))</f>
        <v/>
      </c>
      <c r="H226" s="458"/>
      <c r="I226" s="458"/>
      <c r="J226" s="458"/>
      <c r="K226" s="459"/>
      <c r="L226" s="455" t="e">
        <f t="shared" si="210"/>
        <v>#N/A</v>
      </c>
      <c r="M226" s="460"/>
      <c r="N226" s="460"/>
      <c r="O226" s="456"/>
      <c r="P226" s="461" t="str">
        <f>IF(AND(I51="ANO",BL38=4,CP61&gt;7,F226="5."),2,IF(AND(I51="ANO",BL38=4,CP61&lt;8,F226="5."),0,IF(AND(I51="ANO",BL38=3,CP61&gt;7,F226="5."),30,IF(AND(I51="ANO",BL38=3,CP61&lt;8,F226="5."),0,""))))</f>
        <v/>
      </c>
      <c r="Q226" s="458"/>
      <c r="R226" s="459"/>
      <c r="S226" s="462"/>
      <c r="T226" s="463"/>
      <c r="U226" s="464"/>
      <c r="V226" s="132"/>
      <c r="W226" s="457" t="str">
        <f>IF(AND(I51="ANO",(CV40+CV42+CV44+CV46+CX40+CX42)&gt;32,BQ40=36),"33.",IF(AND(I51="ANO",(CV40+CV42+CV44+CV46+CX40+CX42+CX44+CX46)&gt;32,BQ40=28),"33.",IF(AND(I51="ANO",(CV40+CV42+CV44+CV46+CX40+CX42+CX44+CX46)&gt;32,BQ40=38),"33.",IF(AND(I51="ANO",(CV40+CV42+CV44+CV46+CX40+CX42+CX44+CX46)&gt;32,BQ40=48),"33.",""))))</f>
        <v/>
      </c>
      <c r="X226" s="458"/>
      <c r="Y226" s="458"/>
      <c r="Z226" s="459"/>
      <c r="AA226" s="457" t="str">
        <f t="shared" si="211"/>
        <v/>
      </c>
      <c r="AB226" s="458"/>
      <c r="AC226" s="458"/>
      <c r="AD226" s="458"/>
      <c r="AE226" s="458"/>
      <c r="AF226" s="458"/>
      <c r="AG226" s="458"/>
      <c r="AH226" s="458"/>
      <c r="AI226" s="458"/>
      <c r="AJ226" s="458"/>
      <c r="AK226" s="459"/>
      <c r="AL226" s="455" t="e">
        <f t="shared" si="212"/>
        <v>#N/A</v>
      </c>
      <c r="AM226" s="456"/>
      <c r="AN226" s="36" t="str">
        <f>IF(AND(I51="ANO",BL38=4,CP61&gt;32),0,IF(AND(I51="ANO",BL38=3,BQ40=36,W226="33."),8,IF(AND(I51="ANO",BL38=3,BQ40=28,W226="33."),8,"")))</f>
        <v/>
      </c>
      <c r="AO226" s="167"/>
      <c r="AP226" s="182">
        <v>33</v>
      </c>
      <c r="AQ226"/>
      <c r="AR226" s="6"/>
      <c r="AS226" s="6"/>
      <c r="AT226" s="110" t="str">
        <f>IF(AND($I$51="ANO",$BQ$40=61),AW226,IF(AND($I$51="ANO",$BQ$40=22),AX226,IF(AND($I$51="ANO",$BQ$40=32),AY226,IF(AND($I$51="ANO",$BQ$40=42),AZ226,IF(AND($I$51="ANO",$BQ$40=33),BA226,IF(AND($I$51="ANO",$BQ$40=24),BB226,IF(AND($I$51="ANO",$BQ$40=34),BC226,IF(AND($I$51="ANO",$BQ$40=44),BD226,IF(AND($I$51="ANO",$BQ$40=36),BE226,IF(AND($I$51="ANO",$BQ$40=28),BF226,""))))))))))</f>
        <v/>
      </c>
      <c r="AU226" s="178" t="s">
        <v>5</v>
      </c>
      <c r="AV226" s="179" t="e">
        <f>IF(AND(I51="ANO",CV40&gt;4,BQ40=61,J169&lt;J177),H169,IF(AND(I51="ANO",CV40&gt;4,BQ40=61,J169&gt;J177),H177,IF(AND(I51="ANO",(CV40+CV42)&gt;4,BQ40=22),DB62,IF(AND(I51="ANO",(CV40+CV42)&gt;4,BQ40=32,J169&lt;J177),H169,IF(AND(I51="ANO",(CV40+CV42)&gt;4,BQ40=32,J169&gt;J177),H177,IF(AND(I51="ANO",(CP169+CP170)=2,BQ40=42,J153&lt;J161),H153,IF(AND(I51="ANO",(CP169+CP170)=2,BQ40=42,J153&gt;J161),H161,IF(AND(I51="ANO",(CP169+CP170)=2,BQ40=33,J153&lt;J161),H153,IF(AND(I51="ANO",(CP169+CP170)=2,BQ40=33,J153&gt;J161),H161,IF(AND(I51="ANO",(CP169+CP170)=2,BQ40=24,J153&lt;J161),H153,IF(AND(I51="ANO",(CP169+CP170)=2,BQ40=24,J153&gt;J161),H161,IF(AND(I51="ANO",(CP169+CP170)=2,BQ40=34,J153&lt;J161),H153,IF(AND(I51="ANO",(CP169+CP170)=2,BQ40=34,J153&gt;J161),H161,IF(AND(I51="ANO",(CP169+CP170)=2,BQ40=44,J153&lt;J161),H153,IF(AND(I51="ANO",(CP169+CP170)=2,BQ40=44,J153&gt;J161),H161,IF(AND(I51="ANO",(CP169+CP170)=2,BQ40=36,J153&lt;J161),H153,IF(AND(I51="ANO",(CP169+CP170)=2,BQ40=36,J153&gt;J161),H161,IF(AND(I51="ANO",(CP169+CP170)=2,BQ40=28,J153&lt;J161),H153,IF(AND(I51="ANO",(CP169+CP170)=2,BQ40=28,J153&gt;J161),H161,"")))))))))))))))))))</f>
        <v>#VALUE!</v>
      </c>
      <c r="AW226" s="54" t="b">
        <f>IF(AND(I51="ANO",CV40=5,BQ40=61),DB64,IF(AND(I51="ANO",CV40&gt;4,BQ40=61,J169&lt;J177),H169,IF(AND(I51="ANO",CV40&gt;4,BQ40=61,J169&gt;J177),H177)))</f>
        <v>0</v>
      </c>
      <c r="AX226" s="54" t="b">
        <f>IF(AND(I51="ANO",(CV40+CV42)&gt;4,BQ40=22),DB62)</f>
        <v>0</v>
      </c>
      <c r="AY226" s="54" t="b">
        <f>IF(AND(I51="ANO",(CV40+CV42)&gt;4,BQ40=32,J169&lt;J177),H169,IF(AND(I51="ANO",(CV40+CV42)&gt;4,BQ40=32,J169&gt;J177),H177))</f>
        <v>0</v>
      </c>
      <c r="AZ226" s="54" t="e">
        <f>IF(AND(I51="ANO",CV40=4,CV42=3,BQ40=42,J169&lt;J177),H169,IF(AND(I51="ANO",CV40=4,CV42=3,BQ40=42,J169&gt;J177),H177,IF(AND(I51="ANO",(CV40+CV42)=6,BQ40=42,J169&lt;J177),H169,IF(AND(I51="ANO",(CV40+CV42)=6,BQ40=42,J169&gt;J177),H177,IF(AND(I51="ANO",(CP169+CP170)=2,BQ40=42,J153&lt;J161),H153,IF(AND(I51="ANO",(CP169+CP170)=2,BQ40=42,J153&gt;J161),H161))))))</f>
        <v>#VALUE!</v>
      </c>
      <c r="BA226" s="54" t="e">
        <f>IF(AND(I51="ANO",(CP169+CP170)=2,BQ40=33,J153&lt;J161),H153,IF(AND(I51="ANO",(CP169+CP170)=2,BQ40=33,J153&gt;J161),H161))</f>
        <v>#VALUE!</v>
      </c>
      <c r="BB226" s="54" t="e">
        <f>IF(AND(I51="ANO",(CP169+CP170)=2,BQ40=24,J153&lt;J161),H153,IF(AND(I51="ANO",(CP169+CP170)=2,BQ40=24,J153&gt;J161),H161))</f>
        <v>#VALUE!</v>
      </c>
      <c r="BC226" s="54" t="e">
        <f>IF(AND(I51="ANO",(CP169+CP170)=2,BQ40=34,J153&lt;J161),H153,IF(AND(I51="ANO",(CP169+CP170)=2,BQ40=34,J153&gt;J161),H161))</f>
        <v>#VALUE!</v>
      </c>
      <c r="BD226" s="54" t="e">
        <f>IF(AND(I51="ANO",(CP169+CP170)=2,BQ40=44,J153&lt;J161),H153,IF(AND(I51="ANO",(CP169+CP170)=2,BQ40=44,J153&gt;J161),H161))</f>
        <v>#VALUE!</v>
      </c>
      <c r="BE226" s="54" t="e">
        <f>IF(AND(I51="ANO",(CP169+CP170)=2,BQ40=36,J153&lt;J161),H153,IF(AND(I51="ANO",(CP169+CP170)=2,BQ40=36,J153&gt;J161),H161))</f>
        <v>#VALUE!</v>
      </c>
      <c r="BF226" s="54" t="e">
        <f>IF(AND(I51="ANO",(CP169+CP170)=2,BQ40=28,J153&lt;J161),H153,IF(AND(I51="ANO",(CP169+CP170)=2,BQ40=28,J153&gt;J161),H161))</f>
        <v>#VALUE!</v>
      </c>
      <c r="BH226" s="54" t="str">
        <f t="shared" si="213"/>
        <v/>
      </c>
      <c r="BI226" s="179" t="s">
        <v>45</v>
      </c>
      <c r="BJ226" s="179" t="str">
        <f>IF(AND(I51="ANO",DE87=3,DB87&lt;&gt;AA224,DB87&lt;&gt;AA225,BQ40=36),DB87,IF(AND(I51="ANO",DE98=4,DB98&lt;&gt;AA224,DB98&lt;&gt;AA225,BQ40=36),DB98,IF(AND(I51="ANO",DE109=5,DB109&lt;&gt;AA224,DB109&lt;&gt;AA225,BQ40=36),DB109,IF(AND(I51="ANO",DE120=6,DB120&lt;&gt;AA224,DB120&lt;&gt;AA225,BQ40=36),DB120,IF(AND(I51="ANO",DE64=1,BQ40=28),DB64,IF(AND(I51="ANO",DE75=2,BQ40=28),DB75,IF(AND(I51="ANO",DE86=3,BQ40=28),DB86,IF(AND(I51="ANO",DE97=4,BQ40=28),DB97,IF(AND(I51="ANO",DE108=5,BQ40=28),DB108,IF(AND(I51="ANO",DE119=6,BQ40=28),DB119,IF(AND(I51="ANO",DE130=7,BQ40=28),DB130,IF(AND(I51="ANO",DE141=8,BQ40=28),DB141,""))))))))))))</f>
        <v/>
      </c>
      <c r="BK226" s="54"/>
      <c r="BL226" s="54"/>
      <c r="BM226" s="54"/>
      <c r="BN226" s="54"/>
      <c r="BO226" s="54"/>
      <c r="BP226" s="54"/>
      <c r="BQ226" s="54"/>
      <c r="BR226" s="54"/>
      <c r="BS226" s="54" t="b">
        <f>IF(AND(I51="ANO",DE87=3,DB87&lt;&gt;AA224,DB87&lt;&gt;AA225,BQ40=36),DB87,IF(AND(I51="ANO",DE98=4,DB98&lt;&gt;AA224,DB98&lt;&gt;AA225,BQ40=36),DB98,IF(AND(I51="ANO",DE109=5,DB109&lt;&gt;AA224,DB109&lt;&gt;AA225,BQ40=36),DB109,IF(AND(I51="ANO",DE120=6,DB120&lt;&gt;AA224,DB120&lt;&gt;AA225,BQ40=36),DB120))))</f>
        <v>0</v>
      </c>
      <c r="BT226" s="54" t="b">
        <f>IF(AND(I51="ANO",DE64=1,BQ40=28),DB64,IF(AND(I51="ANO",DE75=2,BQ40=28),DB75,IF(AND(I51="ANO",DE86=3,BQ40=28),DB86,IF(AND(I51="ANO",DE97=4,BQ40=28),DB97,IF(AND(I51="ANO",DE108=5,BQ40=28),DB108,IF(AND(I51="ANO",DE119=6,BQ40=28),DB119,IF(AND(I51="ANO",DE130=7,BQ40=28),DB130,IF(AND(I51="ANO",DE141=8,BQ40=28),DB141))))))))</f>
        <v>0</v>
      </c>
      <c r="CA226" s="9"/>
      <c r="CB226" s="9"/>
      <c r="CC226" s="9"/>
      <c r="CD226" s="9"/>
      <c r="CE226" s="8"/>
      <c r="CF226" s="10"/>
      <c r="CG226" s="10"/>
      <c r="CH226" s="10"/>
      <c r="CK226" s="9"/>
      <c r="CL226" s="9"/>
      <c r="CM226" s="9"/>
      <c r="CN226" s="9"/>
      <c r="CO226" s="8"/>
      <c r="CP226" s="1"/>
      <c r="CU226"/>
      <c r="CV226"/>
      <c r="CW226"/>
      <c r="CX226"/>
      <c r="DB226" s="11"/>
      <c r="DC226" s="11"/>
      <c r="DD226" s="11"/>
      <c r="DE226" s="11"/>
    </row>
    <row r="227" spans="2:109" ht="19.5" customHeight="1" x14ac:dyDescent="0.4">
      <c r="B227" s="1"/>
      <c r="E227" s="181">
        <v>6</v>
      </c>
      <c r="F227" s="36" t="str">
        <f>IF(AND(I51="ANO",CV40&gt;5,BQ40=61),"5.",IF(AND(I51="ANO",(CV40+CV42)&gt;5,BQ40=22),"5.",IF(AND(I51="ANO",(CV40+CV42)&gt;5,BQ40=32),"5.",IF(AND(I51="ANO",(CV40+CV42)&gt;5,BQ40=42),"5.",IF(AND(I51="ANO",(CV40+CV42+CV44)&gt;5,BQ40=33),"5.",IF(AND(I51="ANO",(CV40+CV42+CV44+CV46)&gt;5,BQ40=24),"5.",IF(AND(I51="ANO",(CV40+CV42+CV44+CV46)&gt;9,BQ40=34),"5.",IF(AND(I51="ANO",(CV40+CV42+CV44+CV46)&gt;5,BQ40=44),"5.",IF(AND(I51="ANO",(CV40+CV42+CV44+CV46+CX40+CX42)&gt;5,BQ40=36),"5.",IF(AND(I51="ANO",(CV40+CV42+CV44+CV46+CX40+CX42+CX44+CX46)&gt;5,BQ40=28),"5.",IF(AND(I51="ANO",(CV40+CV42+CV44+CV46+CX40+CX42+CX44+CX46)&gt;5,BQ40=38),"5.",IF(AND(I51="ANO",(CV40+CV42+CV44+CV46+CX40+CX42+CX44+CX46)&gt;5,BQ40=48),"5.",""))))))))))))</f>
        <v/>
      </c>
      <c r="G227" s="457" t="str">
        <f>IF(AT227=FALSE,"",IF(AT227=0,"",AT227))</f>
        <v/>
      </c>
      <c r="H227" s="458"/>
      <c r="I227" s="458"/>
      <c r="J227" s="458"/>
      <c r="K227" s="459"/>
      <c r="L227" s="455" t="e">
        <f t="shared" si="210"/>
        <v>#N/A</v>
      </c>
      <c r="M227" s="460"/>
      <c r="N227" s="460"/>
      <c r="O227" s="456"/>
      <c r="P227" s="461" t="str">
        <f>IF(AND(I51="ANO",BL38=4,CP61&gt;7,F227="5."),2,IF(AND(I51="ANO",BL38=4,CP61&lt;8,F227="5."),0,IF(AND(I51="ANO",BL38=3,CP61&gt;7,F227="5."),30,IF(AND(I51="ANO",BL38=3,CP61&lt;8,F227="5."),0,""))))</f>
        <v/>
      </c>
      <c r="Q227" s="458"/>
      <c r="R227" s="459"/>
      <c r="S227" s="462"/>
      <c r="T227" s="463"/>
      <c r="U227" s="464"/>
      <c r="V227" s="132"/>
      <c r="W227" s="457" t="str">
        <f>IF(AND(I51="ANO",(CV40+CV42+CV44+CV46+CX40+CX42)&gt;33,BQ40=36),"33.",IF(AND(I51="ANO",(CV40+CV42+CV44+CV46+CX40+CX42+CX44+CX46)&gt;33,BQ40=28),"33.",IF(AND(I51="ANO",(CV40+CV42+CV44+CV46+CX40+CX42+CX44+CX46)&gt;33,BQ40=38),"33.",IF(AND(I51="ANO",(CV40+CV42+CV44+CV46+CX40+CX42+CX44+CX46)&gt;33,BQ40=48),"33.",""))))</f>
        <v/>
      </c>
      <c r="X227" s="458"/>
      <c r="Y227" s="458"/>
      <c r="Z227" s="459"/>
      <c r="AA227" s="457" t="str">
        <f t="shared" si="211"/>
        <v/>
      </c>
      <c r="AB227" s="458"/>
      <c r="AC227" s="458"/>
      <c r="AD227" s="458"/>
      <c r="AE227" s="458"/>
      <c r="AF227" s="458"/>
      <c r="AG227" s="458"/>
      <c r="AH227" s="458"/>
      <c r="AI227" s="458"/>
      <c r="AJ227" s="458"/>
      <c r="AK227" s="459"/>
      <c r="AL227" s="455" t="e">
        <f t="shared" si="212"/>
        <v>#N/A</v>
      </c>
      <c r="AM227" s="456"/>
      <c r="AN227" s="36" t="str">
        <f>IF(AND(I51="ANO",BL38=4,CP61&gt;33),0,IF(AND(I51="ANO",BL38=3,BQ40=36,W227="33."),8,IF(AND(I51="ANO",BL38=3,BQ40=28,W227="33."),8,"")))</f>
        <v/>
      </c>
      <c r="AO227" s="167"/>
      <c r="AP227" s="182">
        <v>34</v>
      </c>
      <c r="AQ227"/>
      <c r="AR227" s="6"/>
      <c r="AS227" s="6"/>
      <c r="AT227" s="110" t="str">
        <f t="shared" ref="AT227:AT249" si="214">IF(AND($I$51="ANO",$BQ$40=61),AW227,IF(AND($I$51="ANO",$BQ$40=22),AX227,IF(AND($I$51="ANO",$BQ$40=32),AY227,IF(AND($I$51="ANO",$BQ$40=42),AZ227,IF(AND($I$51="ANO",$BQ$40=33),BA227,IF(AND($I$51="ANO",$BQ$40=24),BB227,IF(AND($I$51="ANO",$BQ$40=34),BC227,IF(AND($I$51="ANO",$BQ$40=44),BD227,IF(AND($I$51="ANO",$BQ$40=36),BE227,IF(AND($I$51="ANO",$BQ$40=28),BF227,""))))))))))</f>
        <v/>
      </c>
      <c r="AU227" s="178" t="s">
        <v>6</v>
      </c>
      <c r="AV227" s="179" t="e">
        <f>IF(AND(I51="ANO",CV40&gt;5,BQ40=61,J185&lt;J193),H185,IF(AND(I51="ANO",CV40&gt;4,BQ40=61,J185&gt;J193),H193,IF(AND(I51="ANO",(CV40+CV42)&gt;5,BQ40=22),DB73,IF(AND(I51="ANO",(CV40+CV42)&gt;5,BQ40=32,J185&lt;J193),H185,IF(AND(I51="ANO",(CV40+CV42)&gt;5,BQ40=32,J185&gt;J193),H193,IF(AND(I51="ANO",(CP171+CP172)=2,BQ40=42,J169&lt;J177),H169,IF(AND(I51="ANO",(CP171+CP172)=2,BQ40=42,J169&gt;J177),H177,IF(AND(I51="ANO",(CP171+CP172)=2,BQ40=33,J169&lt;J177),H169,IF(AND(I51="ANO",(CP171+CP172)=2,BQ40=33,J169&gt;J177),H177,IF(AND(I51="ANO",(CP171+CP172)=2,BQ40=24,J169&lt;J177),H169,IF(AND(I51="ANO",(CP171+CP172)=2,BQ40=24,J169&gt;J177),H177,IF(AND(I51="ANO",(CP171+CP172)=2,BQ40=34,J169&lt;J177),H169,IF(AND(I51="ANO",(CP171+CP172)=2,BQ40=34,J169&gt;J177),H177,IF(AND(I51="ANO",(CP171+CP172)=2,BQ40=44,J169&lt;J177),H169,IF(AND(I51="ANO",(CP171+CP172)=2,BQ40=44,J169&gt;J177),H177,IF(AND(I51="ANO",(CP171+CP172)=2,BQ40=36,J169&lt;J177),H169,IF(AND(I51="ANO",(CP171+CP172)=2,BQ40=36,J169&gt;J177),H177,IF(AND(I51="ANO",(CP171+CP172)=2,BQ40=28,J169&lt;J177),H169,IF(AND(I51="ANO",(CP171+CP172)=2,BQ40=28,J169&gt;J177),H177,"")))))))))))))))))))</f>
        <v>#VALUE!</v>
      </c>
      <c r="AW227" s="54" t="b">
        <f>IF(AND(I51="ANO",CV40&gt;5,BQ40=61,J185&lt;J193),H185,IF(AND(I51="ANO",CV40&gt;4,BQ40=61,J185&gt;J193),H193))</f>
        <v>0</v>
      </c>
      <c r="AX227" s="54" t="b">
        <f>IF(AND(I51="ANO",(CV40+CV42)&gt;5,BQ40=22),DB73)</f>
        <v>0</v>
      </c>
      <c r="AY227" s="54" t="b">
        <f>IF(AND(I51="ANO",(CV40+CV42)&gt;5,BQ40=32,J185&lt;J193),H185,IF(AND(I51="ANO",(CV40+CV42)&gt;5,BQ40=32,J185&gt;J193),H193))</f>
        <v>0</v>
      </c>
      <c r="AZ227" s="54" t="e">
        <f>IF(AND(I51="ANO",CV40=4,CV42=3,BQ40=42,J185&lt;J193),H185,IF(AND(I51="ANO",CV40=4,CV42=3,BQ40=42,J185&gt;J193),H193,IF(AND(I51="ANO",(CV40+CV42)=6,BQ40=42,J185&lt;J193),H185,IF(AND(I51="ANO",(CV40+CV42)=6,BQ40=42,J185&gt;J193),H193,IF(AND(I51="ANO",(CP171+CP172)=2,BQ40=42,J169&lt;J177),H169,IF(AND(I51="ANO",(CP171+CP172)=2,BQ40=42,J169&gt;J177),H177))))))</f>
        <v>#VALUE!</v>
      </c>
      <c r="BA227" s="54" t="e">
        <f>IF(AND(I51="ANO",(CP171+CP172)=2,BQ40=33,J169&lt;J177),H169,IF(AND(I51="ANO",(CP171+CP172)=2,BQ40=33,J169&gt;J177),H177))</f>
        <v>#VALUE!</v>
      </c>
      <c r="BB227" s="54" t="e">
        <f>IF(AND(I51="ANO",(CP171+CP172)=2,BQ40=24,J169&lt;J177),H169,IF(AND(I51="ANO",(CP171+CP172)=2,BQ40=24,J169&gt;J177),H177))</f>
        <v>#VALUE!</v>
      </c>
      <c r="BC227" s="54" t="e">
        <f>IF(AND(I51="ANO",(CP171+CP172)=2,BQ40=34,J169&lt;J177),H169,IF(AND(I51="ANO",(CP171+CP172)=2,BQ40=34,J169&gt;J177),H177))</f>
        <v>#VALUE!</v>
      </c>
      <c r="BD227" s="54" t="e">
        <f>IF(AND(I51="ANO",(CP171+CP172)=2,BQ40=44,J169&lt;J177),H169,IF(AND(I51="ANO",(CP171+CP172)=2,BQ40=44,J169&gt;J177),H177))</f>
        <v>#VALUE!</v>
      </c>
      <c r="BE227" s="54" t="e">
        <f>IF(AND(I51="ANO",(CP171+CP172)=2,BQ40=36,J169&lt;J177),H169,IF(AND(I51="ANO",(CP171+CP172)=2,BQ40=36,J169&gt;J177),H177))</f>
        <v>#VALUE!</v>
      </c>
      <c r="BF227" s="54" t="e">
        <f>IF(AND(I51="ANO",(CP171+CP172)=2,BQ40=28,J169&lt;J177),H169,IF(AND(I51="ANO",(CP171+CP172)=2,BQ40=28,J169&gt;J177),H177))</f>
        <v>#VALUE!</v>
      </c>
      <c r="BH227" s="54" t="str">
        <f t="shared" si="213"/>
        <v/>
      </c>
      <c r="BI227" s="179" t="s">
        <v>50</v>
      </c>
      <c r="BJ227" s="179" t="str">
        <f>IF(AND(I51="ANO",DE98=4,DB98&lt;&gt;AA224,DB98&lt;&gt;AA225,DB98&lt;&gt;AA226,BQ40=36),DB98,IF(AND(I51="ANO",DE109=5,DB109&lt;&gt;AA224,DB109&lt;&gt;AA225,DB109&lt;&gt;AA226,BQ40=36),DB109,IF(AND(I51="ANO",DE120=6,DB120&lt;&gt;AA224,DB120&lt;&gt;AA225,DB120&lt;&gt;AA226,BQ40=36),DB120,IF(AND(I51="ANO",DE75=2,DB75&lt;&gt;AA226,BQ40=28),DB75,IF(AND(I51="ANO",DE86=3,DB86&lt;&gt;AA226,BQ40=28),DB86,IF(AND(I51="ANO",DE97=4,DB97&lt;&gt;AA226,BQ40=28),DB97,IF(AND(I51="ANO",DE108=5,DB108&lt;&gt;AA226,BQ40=28),DB108,IF(AND(I51="ANO",DE119=6,DB119&lt;&gt;AA226,BQ40=28),DB119,IF(AND(I51="ANO",DE130=7,DB130&lt;&gt;AA226,BQ40=28),DB130,IF(AND(I51="ANO",DE141=8,DB141&lt;&gt;AA226,BQ40=28),DB141,""))))))))))</f>
        <v/>
      </c>
      <c r="BK227" s="54"/>
      <c r="BL227" s="54"/>
      <c r="BM227" s="54"/>
      <c r="BN227" s="54"/>
      <c r="BO227" s="54"/>
      <c r="BP227" s="54"/>
      <c r="BQ227" s="54"/>
      <c r="BR227" s="54"/>
      <c r="BS227" s="54" t="b">
        <f>IF(AND(I51="ANO",DE98=4,DB98&lt;&gt;AA224,DB98&lt;&gt;AA225,DB98&lt;&gt;AA226,BQ40=36),DB98,IF(AND(I51="ANO",DE109=5,DB109&lt;&gt;AA224,DB109&lt;&gt;AA225,DB109&lt;&gt;AA226,BQ40=36),DB109,IF(AND(I51="ANO",DE120=6,DB120&lt;&gt;AA224,DB120&lt;&gt;AA225,DB120&lt;&gt;AA226,BQ40=36),DB120)))</f>
        <v>0</v>
      </c>
      <c r="BT227" s="54" t="b">
        <f>IF(AND(I51="ANO",DE75=2,DB75&lt;&gt;AA226,BQ40=28),DB75,IF(AND(I51="ANO",DE86=3,DB86&lt;&gt;AA226,BQ40=28),DB86,IF(AND(I51="ANO",DE97=4,DB97&lt;&gt;AA226,BQ40=28),DB97,IF(AND(I51="ANO",DE108=5,DB108&lt;&gt;AA226,BQ40=28),DB108,IF(AND(I51="ANO",DE119=6,DB119&lt;&gt;AA226,BQ40=28),DB119,IF(AND(I51="ANO",DE130=7,DB130&lt;&gt;AA226,BQ40=28),DB130,IF(AND(I51="ANO",DE141=8,DB141&lt;&gt;AA226,BQ40=28),DB141)))))))</f>
        <v>0</v>
      </c>
      <c r="CA227" s="9"/>
      <c r="CB227" s="9"/>
      <c r="CC227" s="9"/>
      <c r="CD227" s="9"/>
      <c r="CE227" s="8"/>
      <c r="CF227" s="10"/>
      <c r="CG227" s="10"/>
      <c r="CH227" s="10"/>
      <c r="CK227" s="9"/>
      <c r="CL227" s="9"/>
      <c r="CM227" s="9"/>
      <c r="CN227" s="9"/>
      <c r="CO227" s="8"/>
      <c r="CP227" s="1"/>
      <c r="CU227"/>
      <c r="CV227"/>
      <c r="CW227"/>
      <c r="CX227"/>
      <c r="DB227" s="11"/>
      <c r="DC227" s="11"/>
      <c r="DD227" s="11"/>
      <c r="DE227" s="11"/>
    </row>
    <row r="228" spans="2:109" ht="19.5" customHeight="1" x14ac:dyDescent="0.4">
      <c r="B228" s="1"/>
      <c r="E228" s="181">
        <v>7</v>
      </c>
      <c r="F228" s="36" t="str">
        <f>IF(AND(I51="ANO",CV40&gt;6,BQ40=61),"5.",IF(AND(I51="ANO",(CV40+CV42)&gt;6,BQ40=22),"7.",IF(AND(I51="ANO",(CV40+CV42)&gt;6,BQ40=32),"5.",IF(AND(I51="ANO",(CV40+CV42)&gt;6,BQ40=42),"5.",IF(AND(I51="ANO",(CV40+CV42+CV44)&gt;6,BQ40=33),"5.",IF(AND(I51="ANO",(CV40+CV42+CV44+CV46)&gt;6,BQ40=24),"5.",IF(AND(I51="ANO",(CV40+CV42+CV44+CV46)&gt;9,BQ40=34),"5.",IF(AND(I51="ANO",(CV40+CV42+CV44+CV46)&gt;6,BQ40=44),"5.",IF(AND(I51="ANO",(CV40+CV42+CV44+CV46+CX40+CX42)&gt;6,BQ40=36),"5.",IF(AND(I51="ANO",(CV40+CV42+CV44+CV46+CX40+CX42+CX44+CX46)&gt;6,BQ40=28),"5.",IF(AND(I51="ANO",(CV40+CV42+CV44+CV46+CX40+CX42+CX44+CX46)&gt;6,BQ40=38),"5.",IF(AND(I51="ANO",(CV40+CV42+CV44+CV46+CX40+CX42+CX44+CX46)&gt;6,BQ40=48),"5.",""))))))))))))</f>
        <v/>
      </c>
      <c r="G228" s="457" t="str">
        <f>IF(AT228=FALSE,"",IF(AT228=0,"",AT228))</f>
        <v/>
      </c>
      <c r="H228" s="458"/>
      <c r="I228" s="458"/>
      <c r="J228" s="458"/>
      <c r="K228" s="459"/>
      <c r="L228" s="455" t="e">
        <f t="shared" si="210"/>
        <v>#N/A</v>
      </c>
      <c r="M228" s="460"/>
      <c r="N228" s="460"/>
      <c r="O228" s="456"/>
      <c r="P228" s="461" t="str">
        <f>IF(AND(I51="ANO",BL38=4,CP61&gt;7,F228="5."),2,IF(AND(I51="ANO",BL38=4,CP61&gt;7,F228="7."),2,IF(AND(I51="ANO",BL38=4,CP61&lt;8,F228="5."),0,IF(AND(I51="ANO",BL38=4,CP61&lt;8,F228="7."),0,IF(AND(I51="ANO",BL38=3,CP61&gt;7,F228="5."),30,IF(AND(I51="ANO",BL38=3,CP61&lt;8,F228="5."),0,IF(AND(I51="ANO",BL38=3,CP61&gt;7,F228="7."),25,IF(AND(I51="ANO",BL38=3,CP61&lt;8,F228="7."),0,""))))))))</f>
        <v/>
      </c>
      <c r="Q228" s="458"/>
      <c r="R228" s="459"/>
      <c r="S228" s="462"/>
      <c r="T228" s="463"/>
      <c r="U228" s="464"/>
      <c r="V228" s="132"/>
      <c r="W228" s="457" t="str">
        <f>IF(AND(I51="ANO",(CV40+CV42+CV44+CV46+CX40+CX42)&gt;34,BQ40=36),"33.",IF(AND(I51="ANO",(CV40+CV42+CV44+CV46+CX40+CX42+CX44+CX46)&gt;34,BQ40=28),"33.",IF(AND(I51="ANO",(CV40+CV42+CV44+CV46+CX40+CX42+CX44+CX46)&gt;34,BQ40=38),"33.",IF(AND(I51="ANO",(CV40+CV42+CV44+CV46+CX40+CX42+CX44+CX46)&gt;34,BQ40=48),"33.",""))))</f>
        <v/>
      </c>
      <c r="X228" s="458"/>
      <c r="Y228" s="458"/>
      <c r="Z228" s="459"/>
      <c r="AA228" s="457" t="str">
        <f t="shared" si="211"/>
        <v/>
      </c>
      <c r="AB228" s="458"/>
      <c r="AC228" s="458"/>
      <c r="AD228" s="458"/>
      <c r="AE228" s="458"/>
      <c r="AF228" s="458"/>
      <c r="AG228" s="458"/>
      <c r="AH228" s="458"/>
      <c r="AI228" s="458"/>
      <c r="AJ228" s="458"/>
      <c r="AK228" s="459"/>
      <c r="AL228" s="455" t="e">
        <f t="shared" si="212"/>
        <v>#N/A</v>
      </c>
      <c r="AM228" s="456"/>
      <c r="AN228" s="36" t="str">
        <f>IF(AND(I51="ANO",BL38=4,CP61&gt;34),0,IF(AND(I51="ANO",BL38=3,BQ40=36,W228="33."),8,IF(AND(I51="ANO",BL38=3,BQ40=28,W228="33."),8,"")))</f>
        <v/>
      </c>
      <c r="AO228" s="167"/>
      <c r="AP228" s="182">
        <v>35</v>
      </c>
      <c r="AQ228"/>
      <c r="AR228" s="6"/>
      <c r="AS228" s="6"/>
      <c r="AT228" s="110" t="str">
        <f t="shared" si="214"/>
        <v/>
      </c>
      <c r="AU228" s="178" t="s">
        <v>7</v>
      </c>
      <c r="AV228" s="179" t="e">
        <f>IF(AND(I51="ANO",CV40&gt;6,BQ40=61),DB66,IF(AND(I51="ANO",CV40&gt;3,BQ40=22),DB63,IF(AND(I51="ANO",CV40&lt;4,CV42&gt;3,BQ40=22),DB74,IF(AND(I51="ANO",CV40&gt;3,BQ40=32),DB63,IF(AND(I51="ANO",CV40&lt;4,CV42&gt;3,BQ40=32),DB74,IF(AND(I51="ANO",(CP173+CP174)=2,BQ40=42,J185&lt;J193),H185,IF(AND(I51="ANO",(CP173+CP174)=2,BQ40=42,J185&gt;J193),H193,IF(AND(I51="ANO",(CP173+CP174)=2,BQ40=33,J185&lt;J193),H185,IF(AND(I51="ANO",(CP173+CP174)=2,BQ40=33,J185&gt;J193),H193,IF(AND(I51="ANO",(CP173+CP174)=2,BQ40=24,J185&lt;J193),H185,IF(AND(I51="ANO",(CP173+CP174)=2,BQ40=24,J185&gt;J193),H193,IF(AND(I51="ANO",(CP173+CP174)=2,BQ40=34,J185&lt;J193),H185,IF(AND(I51="ANO",(CP173+CP174)=2,BQ40=34,J185&gt;J193),H193,IF(AND(I51="ANO",(CP173+CP174)=2,BQ40=44,J185&lt;J193),H185,IF(AND(I51="ANO",(CP173+CP174)=2,BQ40=44,J185&gt;J193),H193,IF(AND(I51="ANO",(CP173+CP174)=2,BQ40=36,J185&lt;J193),H185,IF(AND(I51="ANO",(CP173+CP174)=2,BQ40=36,J185&gt;J193),H193,IF(AND(I51="ANO",(CP173+CP174)=2,BQ40=28,J185&lt;J193),H185,IF(AND(I51="ANO",(CP173+CP174)=2,BQ40=28,J185&gt;J193),H193,"")))))))))))))))))))</f>
        <v>#VALUE!</v>
      </c>
      <c r="AW228" s="54" t="b">
        <f>IF(AND(I51="ANO",CV40&gt;6,BQ40=61),DB66)</f>
        <v>0</v>
      </c>
      <c r="AX228" s="54" t="b">
        <f>IF(AND(I51="ANO",CV40&gt;3,BQ40=22),DB63,IF(AND(I51="ANO",CV40&lt;4,CV42&gt;3,BQ40=22),DB74))</f>
        <v>0</v>
      </c>
      <c r="AY228" s="54" t="b">
        <f>IF(AND(I51="ANO",CV40&gt;3,BQ40=32),DB63,IF(AND(I51="ANO",CV40&lt;4,CV42&gt;3,BQ40=32),DB74))</f>
        <v>0</v>
      </c>
      <c r="AZ228" s="54" t="e">
        <f>IF(AND(I51="ANO",CV40=3,CV42=4,(CP173+CP174)=2,BQ40=42,J185&lt;J193),H185,IF(AND(I51="ANO",CV40=3,CV42=4,(CP173+CP174)=2,BQ40=42,J185&gt;J193),H193,IF(AND(I51="ANO",CV40=4,CV42=3,(CP175+CP176)=2,BQ40=42,J201&lt;J209),H201,IF(AND(I51="ANO",CV40=4,CV42=3,(CP175+CP176)=2,BQ40=42,J201&gt;J209),H209,IF(AND(I51="ANO",(CV40+CV42)=6,BQ40=42),"",IF(AND(I51="ANO",(CP173+CP174)=2,BQ40=42,J185&lt;J193),H185,IF(AND(I51="ANO",(CP173+CP174)=2,BQ40=42,J185&gt;J193),H193)))))))</f>
        <v>#VALUE!</v>
      </c>
      <c r="BA228" s="54" t="e">
        <f>IF(AND(I51="ANO",(CP173+CP174)=2,BQ40=33,J185&lt;J193),H185,IF(AND(I51="ANO",(CP173+CP174)=2,BQ40=33,J185&gt;J193),H193))</f>
        <v>#VALUE!</v>
      </c>
      <c r="BB228" s="54" t="e">
        <f>IF(AND(I51="ANO",(CP173+CP174)=2,BQ40=24,J185&lt;J193),H185,IF(AND(I51="ANO",(CP173+CP174)=2,BQ40=24,J185&gt;J193),H193))</f>
        <v>#VALUE!</v>
      </c>
      <c r="BC228" s="54" t="e">
        <f>IF(AND(I51="ANO",(CP173+CP174)=2,BQ40=34,J185&lt;J193),H185,IF(AND(I51="ANO",(CP173+CP174)=2,BQ40=34,J185&gt;J193),H193))</f>
        <v>#VALUE!</v>
      </c>
      <c r="BD228" s="54" t="e">
        <f>IF(AND(I51="ANO",(CP173+CP174)=2,BQ40=44,J185&lt;J193),H185,IF(AND(I51="ANO",(CP173+CP174)=2,BQ40=44,J185&gt;J193),H193))</f>
        <v>#VALUE!</v>
      </c>
      <c r="BE228" s="54" t="e">
        <f>IF(AND(I51="ANO",(CP173+CP174)=2,BQ40=36,J185&lt;J193),H185,IF(AND(I51="ANO",(CP173+CP174)=2,BQ40=36,J185&gt;J193),H193))</f>
        <v>#VALUE!</v>
      </c>
      <c r="BF228" s="54" t="e">
        <f>IF(AND(I51="ANO",(CP173+CP174)=2,BQ40=28,J185&lt;J193),H185,IF(AND(I51="ANO",(CP173+CP174)=2,BQ40=28,J185&gt;J193),H193))</f>
        <v>#VALUE!</v>
      </c>
      <c r="BH228" s="54" t="str">
        <f t="shared" si="213"/>
        <v/>
      </c>
      <c r="BI228" s="179" t="s">
        <v>55</v>
      </c>
      <c r="BJ228" s="179" t="str">
        <f>IF(AND(I51="ANO",DE109=5,DB109&lt;&gt;AA224,DB109&lt;&gt;AA225,DB109&lt;&gt;AA226,DB109&lt;&gt;AA227,BQ40=36),DB109,IF(AND(I51="ANO",DE120=6,DB120&lt;&gt;AA224,DB120&lt;&gt;AA225,DB120&lt;&gt;AA226,DB120&lt;&gt;AA227,BQ40=36),DB120,IF(AND(I51="ANO",DE86=3,DB86&lt;&gt;AA226,DB86&lt;&gt;AA227,BQ40=28),DB86,IF(AND(I51="ANO",DE97=4,DB97&lt;&gt;AA226,DB97&lt;&gt;AA227,BQ40=28),DB97,IF(AND(I51="ANO",DE108=5,DB108&lt;&gt;AA226,DB108&lt;&gt;AA227,BQ40=28),DB108,IF(AND(I51="ANO",DE119=6,DB119&lt;&gt;AA226,DB119&lt;&gt;AA227,BQ40=28),DB119,IF(AND(I51="ANO",DE130=7,DB130&lt;&gt;AA226,DB130&lt;&gt;AA227,BQ40=28),DB130,IF(AND(I51="ANO",DE141=8,DB141&lt;&gt;AA226,DB141&lt;&gt;AA227,BQ40=28),DB141,""))))))))</f>
        <v/>
      </c>
      <c r="BK228" s="54"/>
      <c r="BL228" s="54"/>
      <c r="BM228" s="54"/>
      <c r="BN228" s="54"/>
      <c r="BO228" s="54"/>
      <c r="BP228" s="54"/>
      <c r="BQ228" s="54"/>
      <c r="BR228" s="54"/>
      <c r="BS228" s="54" t="b">
        <f>IF(AND(I51="ANO",DE109=5,DB109&lt;&gt;AA224,DB109&lt;&gt;AA225,DB109&lt;&gt;AA226,DB109&lt;&gt;AA227,BQ40=36),DB109,IF(AND(I51="ANO",DE120=6,DB120&lt;&gt;AA224,DB120&lt;&gt;AA225,DB120&lt;&gt;AA226,DB120&lt;&gt;AA227,BQ40=36),DB120))</f>
        <v>0</v>
      </c>
      <c r="BT228" s="54" t="b">
        <f>IF(AND(I51="ANO",DE86=3,DB86&lt;&gt;AA226,DB86&lt;&gt;AA227,BQ40=28),DB86,IF(AND(I51="ANO",DE97=4,DB97&lt;&gt;AA226,DB97&lt;&gt;AA227,BQ40=28),DB97,IF(AND(I51="ANO",DE108=5,DB108&lt;&gt;AA226,DB108&lt;&gt;AA227,BQ40=28),DB108,IF(AND(I51="ANO",DE119=6,DB119&lt;&gt;AA226,DB119&lt;&gt;AA227,BQ40=28),DB119,IF(AND(I51="ANO",DE130=7,DB130&lt;&gt;AA226,DB130&lt;&gt;AA227,BQ40=28),DB130,IF(AND(I51="ANO",DE141=8,DB141&lt;&gt;AA226,DB141&lt;&gt;AA227,BQ40=28),DB141))))))</f>
        <v>0</v>
      </c>
      <c r="CA228" s="9"/>
      <c r="CB228" s="9"/>
      <c r="CC228" s="9"/>
      <c r="CD228" s="9"/>
      <c r="CE228" s="8"/>
      <c r="CF228" s="10"/>
      <c r="CG228" s="10"/>
      <c r="CH228" s="10"/>
      <c r="CK228" s="9"/>
      <c r="CL228" s="9"/>
      <c r="CM228" s="9"/>
      <c r="CN228" s="9"/>
      <c r="CO228" s="8"/>
      <c r="CP228" s="1"/>
      <c r="CU228"/>
      <c r="CV228"/>
      <c r="CW228"/>
      <c r="CX228"/>
      <c r="DB228" s="11"/>
      <c r="DC228" s="11"/>
      <c r="DD228" s="11"/>
      <c r="DE228" s="11"/>
    </row>
    <row r="229" spans="2:109" ht="19.5" customHeight="1" x14ac:dyDescent="0.4">
      <c r="B229" s="1"/>
      <c r="E229" s="181">
        <v>8</v>
      </c>
      <c r="F229" s="36" t="str">
        <f>IF(AND(I51="ANO",CV40&gt;7,BQ40=61),"5.",IF(AND(I51="ANO",(CV40+CV42)&gt;7,BQ40=22),"7.",IF(AND(I51="ANO",(CV40+CV42)&gt;7,BQ40=32),"5.",IF(AND(I51="ANO",(CV40+CV42)&gt;7,BQ40=42),"5.",IF(AND(I51="ANO",(CV40+CV42+CV44)&gt;7,BQ40=33),"5.",IF(AND(I51="ANO",(CV40+CV42+CV44+CV46)&gt;7,BQ40=24),"5.",IF(AND(I51="ANO",(CV40+CV42+CV44+CV46)&gt;9,BQ40=34),"5.",IF(AND(I51="ANO",(CV40+CV42+CV44+CV46)&gt;7,BQ40=44),"5.",IF(AND(I51="ANO",(CV40+CV42+CV44+CV46+CX40+CX42)&gt;7,BQ40=36),"5.",IF(AND(I51="ANO",(CV40+CV42+CV44+CV46+CX40+CX42+CX44+CX46)&gt;7,BQ40=28),"5.",IF(AND(I51="ANO",(CV40+CV42+CV44+CV46+CX40+CX42+CX44+CX46)&gt;7,BQ40=38),"5.",IF(AND(I51="ANO",(CV40+CV42+CV44+CV46+CX40+CX42+CX44+CX46)&gt;7,BQ40=48),"5.",""))))))))))))</f>
        <v/>
      </c>
      <c r="G229" s="457" t="str">
        <f t="shared" ref="G229:G249" si="215">IF(AT229=FALSE,"",IF(AT229=0,"",AT229))</f>
        <v/>
      </c>
      <c r="H229" s="458"/>
      <c r="I229" s="458"/>
      <c r="J229" s="458"/>
      <c r="K229" s="459"/>
      <c r="L229" s="455" t="e">
        <f t="shared" si="210"/>
        <v>#N/A</v>
      </c>
      <c r="M229" s="460"/>
      <c r="N229" s="460"/>
      <c r="O229" s="456"/>
      <c r="P229" s="461" t="str">
        <f>IF(AND(I51="ANO",BL38=4,F229="5."),2,IF(AND(I51="ANO",BL38=4,F229="7."),2,IF(AND(I51="ANO",BL38=3,F229="5."),30,IF(AND(I51="ANO",BL38=3,CP61&gt;7,F229="7."),25,""))))</f>
        <v/>
      </c>
      <c r="Q229" s="458"/>
      <c r="R229" s="459"/>
      <c r="S229" s="462"/>
      <c r="T229" s="463"/>
      <c r="U229" s="464"/>
      <c r="V229" s="132"/>
      <c r="W229" s="457" t="str">
        <f>IF(AND(I51="ANO",(CV40+CV42+CV44+CV46+CX40+CX42)&gt;35,BQ40=36),"33.",IF(AND(I51="ANO",(CV40+CV42+CV44+CV46+CX40+CX42+CX44+CX46)&gt;35,BQ40=28),"33.",IF(AND(I51="ANO",(CV40+CV42+CV44+CV46+CX40+CX42+CX44+CX46)&gt;35,BQ40=38),"33.",IF(AND(I51="ANO",(CV40+CV42+CV44+CV46+CX40+CX42+CX44+CX46)&gt;35,BQ40=48),"33.",""))))</f>
        <v/>
      </c>
      <c r="X229" s="458"/>
      <c r="Y229" s="458"/>
      <c r="Z229" s="459"/>
      <c r="AA229" s="457" t="str">
        <f t="shared" si="211"/>
        <v/>
      </c>
      <c r="AB229" s="458"/>
      <c r="AC229" s="458"/>
      <c r="AD229" s="458"/>
      <c r="AE229" s="458"/>
      <c r="AF229" s="458"/>
      <c r="AG229" s="458"/>
      <c r="AH229" s="458"/>
      <c r="AI229" s="458"/>
      <c r="AJ229" s="458"/>
      <c r="AK229" s="459"/>
      <c r="AL229" s="455" t="e">
        <f t="shared" si="212"/>
        <v>#N/A</v>
      </c>
      <c r="AM229" s="456"/>
      <c r="AN229" s="36" t="str">
        <f>IF(AND(I51="ANO",BL38=4,CP61&gt;35),0,IF(AND(I51="ANO",BL38=3,BQ40=36,W229="33."),8,IF(AND(I51="ANO",BL38=3,BQ40=28,W229="33."),8,"")))</f>
        <v/>
      </c>
      <c r="AO229" s="167"/>
      <c r="AP229" s="182">
        <v>36</v>
      </c>
      <c r="AQ229"/>
      <c r="AR229" s="6"/>
      <c r="AS229" s="6"/>
      <c r="AT229" s="110" t="str">
        <f t="shared" si="214"/>
        <v/>
      </c>
      <c r="AU229" s="178" t="s">
        <v>59</v>
      </c>
      <c r="AV229" s="179" t="e">
        <f>IF(AND(I51="ANO",(CV40+CV42)&gt;7,BQ40=22),DB74,IF(AND(I51="ANO",(CV40+CV42)&gt;7,BQ40=32),DB74,IF(AND(I51="ANO",(CP175+CP176)=2,BQ40=42,J201&lt;J209),H201,IF(AND(I51="ANO",(CP175+CP176)=2,BQ40=42,J201&gt;J209),H209,IF(AND(I51="ANO",(CP175+CP176)=2,BQ40=33,J201&lt;J209),H201,IF(AND(I51="ANO",(CP175+CP176)=2,BQ40=33,J201&gt;J209),H209,IF(AND(I51="ANO",(CP175+CP176)=2,BQ40=24,J201&lt;J209),H201,IF(AND(I51="ANO",(CP175+CP176)=2,BQ40=24,J201&gt;J209),H209,IF(AND(I51="ANO",(CP175+CP176)=2,BQ40=34,J201&lt;J209),H201,IF(AND(I51="ANO",(CP175+CP176)=2,BQ40=34,J201&gt;J209),H209,IF(AND(I51="ANO",(CP175+CP176)=2,BQ40=44,J201&lt;J209),H201,IF(AND(I51="ANO",(CP175+CP176)=2,BQ40=44,J201&gt;J209),H209,IF(AND(I51="ANO",(CP175+CP176)=2,BQ40=36,J201&lt;J209),H201,IF(AND(I51="ANO",(CP175+CP176)=2,BQ40=36,J201&gt;J209),H209,IF(AND(I51="ANO",(CP175+CP176)=2,BQ40=28,J201&lt;J209),H201,IF(AND(I51="ANO",(CP175+CP176)=2,BQ40=28,J201&gt;J209),H209,""))))))))))))))))</f>
        <v>#VALUE!</v>
      </c>
      <c r="AW229" s="54"/>
      <c r="AX229" s="54" t="b">
        <f>IF(AND(I51="ANO",(CV40+CV42)&gt;7,BQ40=22),DB74)</f>
        <v>0</v>
      </c>
      <c r="AY229" s="54" t="b">
        <f>IF(AND(I51="ANO",(CV40+CV42)&gt;7,BQ40=32),DB74)</f>
        <v>0</v>
      </c>
      <c r="AZ229" s="54" t="e">
        <f>IF(AND(I51="ANO",CV40=4,CV42=3,BQ40=42),"",IF(AND(I51="ANO",(CP175+CP176)=2,BQ40=42,J201&lt;J209),H201,IF(AND(I51="ANO",(CP175+CP176)=2,BQ40=42,J201&gt;J209),H209)))</f>
        <v>#VALUE!</v>
      </c>
      <c r="BA229" s="54" t="e">
        <f>IF(AND(I51="ANO",(CP175+CP176)=2,BQ40=33,J201&lt;J209),H201,IF(AND(I51="ANO",(CP175+CP176)=2,BQ40=33,J201&gt;J209),H209))</f>
        <v>#VALUE!</v>
      </c>
      <c r="BB229" s="54" t="e">
        <f>IF(AND(I51="ANO",(CP175+CP176)=2,BQ40=24,J201&lt;J209),H201,IF(AND(I51="ANO",(CP175+CP176)=2,BQ40=24,J201&gt;J209),H209))</f>
        <v>#VALUE!</v>
      </c>
      <c r="BC229" s="54" t="e">
        <f>IF(AND(I51="ANO",(CP175+CP176)=2,BQ40=34,J201&lt;J209),H201,IF(AND(I51="ANO",(CP175+CP176)=2,BQ40=34,J201&gt;J209),H209))</f>
        <v>#VALUE!</v>
      </c>
      <c r="BD229" s="54" t="e">
        <f>IF(AND(I51="ANO",(CP175+CP176)=2,BQ40=44,J201&lt;J209),H201,IF(AND(I51="ANO",(CP175+CP176)=2,BQ40=44,J201&gt;J209),H209))</f>
        <v>#VALUE!</v>
      </c>
      <c r="BE229" s="54" t="e">
        <f>IF(AND(I51="ANO",(CP175+CP176)=2,BQ40=36,J201&lt;J209),H201,IF(AND(I51="ANO",(CP175+CP176)=2,BQ40=36,J201&gt;J209),H209))</f>
        <v>#VALUE!</v>
      </c>
      <c r="BF229" s="54" t="e">
        <f>IF(AND(I51="ANO",(CP175+CP176)=2,BQ40=28,J201&lt;J209),H201,IF(AND(I51="ANO",(CP175+CP176)=2,BQ40=28,J201&gt;J209),H209))</f>
        <v>#VALUE!</v>
      </c>
      <c r="BH229" s="54" t="str">
        <f t="shared" si="213"/>
        <v/>
      </c>
      <c r="BI229" s="179" t="s">
        <v>60</v>
      </c>
      <c r="BJ229" s="179" t="str">
        <f>IF(AND(I51="ANO",DE120=6,DB120&lt;&gt;AA224,DB120&lt;&gt;AA225,DB120&lt;&gt;AA226,DB120&lt;&gt;AA227,DB120&lt;&gt;AA228,BQ40=36),DB120,IF(AND(I51="ANO",DE97=4,DB97&lt;&gt;AA226,DB97&lt;&gt;AA227,DB97&lt;&gt;AA228,BQ40=28),DB97,IF(AND(I51="ANO",DE108=5,DB108&lt;&gt;AA226,DB108&lt;&gt;AA227,DB108&lt;&gt;AA228,BQ40=28),DB108,IF(AND(I51="ANO",DE119=6,DB119&lt;&gt;AA226,DB119&lt;&gt;AA227,DB119&lt;&gt;AA228,BQ40=28),DB119,IF(AND(I51="ANO",DE130=7,DB130&lt;&gt;AA226,DB130&lt;&gt;AA227,DB130&lt;&gt;AA228,BQ40=28),DB130,IF(AND(I51="ANO",DE141=8,DB141&lt;&gt;AA226,DB141&lt;&gt;AA227,DB141&lt;&gt;AA228,BQ40=28),DB141,""))))))</f>
        <v/>
      </c>
      <c r="BK229" s="54"/>
      <c r="BL229" s="54"/>
      <c r="BM229" s="54"/>
      <c r="BN229" s="54"/>
      <c r="BO229" s="54"/>
      <c r="BP229" s="54"/>
      <c r="BQ229" s="54"/>
      <c r="BR229" s="54"/>
      <c r="BS229" s="54" t="b">
        <f>IF(AND(I51="ANO",DE120=6,DB120&lt;&gt;AA224,DB120&lt;&gt;AA225,DB120&lt;&gt;AA226,DB120&lt;&gt;AA227,DB120&lt;&gt;AA228,BQ40=36),DB120)</f>
        <v>0</v>
      </c>
      <c r="BT229" s="54" t="b">
        <f>IF(AND(I51="ANO",DE97=4,DB97&lt;&gt;AA226,DB97&lt;&gt;AA227,DB97&lt;&gt;AA228,BQ40=28),DB97,IF(AND(I51="ANO",DE108=5,DB108&lt;&gt;AA226,DB108&lt;&gt;AA227,DB108&lt;&gt;AA228,BQ40=28),DB108,IF(AND(I51="ANO",DE119=6,DB119&lt;&gt;AA226,DB119&lt;&gt;AA227,DB119&lt;&gt;AA228,BQ40=28),DB119,IF(AND(I51="ANO",DE130=7,DB130&lt;&gt;AA226,DB130&lt;&gt;AA227,DB130&lt;&gt;AA228,BQ40=28),DB130,IF(AND(I51="ANO",DE141=8,DB141&lt;&gt;AA226,DB141&lt;&gt;AA227,DB141&lt;&gt;AA228,BQ40=28),DB141)))))</f>
        <v>0</v>
      </c>
      <c r="CA229" s="9"/>
      <c r="CB229" s="9"/>
      <c r="CC229" s="9"/>
      <c r="CD229" s="9"/>
      <c r="CE229" s="8"/>
      <c r="CF229" s="10"/>
      <c r="CG229" s="10"/>
      <c r="CH229" s="10"/>
      <c r="CK229" s="9"/>
      <c r="CL229" s="9"/>
      <c r="CM229" s="9"/>
      <c r="CN229" s="9"/>
      <c r="CO229" s="8"/>
      <c r="CP229" s="1"/>
      <c r="CU229"/>
      <c r="CV229"/>
      <c r="CW229"/>
      <c r="CX229"/>
      <c r="DB229" s="11"/>
      <c r="DC229" s="11"/>
      <c r="DD229" s="11"/>
      <c r="DE229" s="11"/>
    </row>
    <row r="230" spans="2:109" ht="19.5" customHeight="1" x14ac:dyDescent="0.4">
      <c r="B230" s="1"/>
      <c r="E230" s="181">
        <v>9</v>
      </c>
      <c r="F230" s="36" t="str">
        <f>IF(AND(I51="ANO",CV40&gt;8,BQ40=61),"5.",IF(AND(I51="ANO",(CV40+CV42)&gt;8,BQ40=22),"9.",IF(AND(I51="ANO",(CV40+CV42)&gt;8,BQ40=32),"9.",IF(AND(I51="ANO",(CV40+CV42)&gt;8,BQ40=42),"9.",IF(AND(I51="ANO",(CV40+CV42+CV44)&gt;8,BQ40=33),"9.",IF(AND(I51="ANO",(CV40+CV42+CV44+CV46)&gt;8,BQ40=24),"9.",IF(AND(I51="ANO",(CV40+CV42+CV44+CV46)&gt;9,BQ40=34),"9.",IF(AND(I51="ANO",(CV40+CV42+CV44+CV46)&gt;8,BQ40=44),"9.",IF(AND(I51="ANO",(CV40+CV42+CV44+CV46+CX40+CX42)&gt;8,BQ40=36),"9.",IF(AND(I51="ANO",(CV40+CV42+CV44+CV46+CX40+CX42+CX44+CX46)&gt;8,BQ40=28),"9.",IF(AND(I51="ANO",(CV40+CV42+CV44+CV46+CX40+CX42+CX44+CX46)&gt;8,BQ40=38),"9.",IF(AND(I51="ANO",(CV40+CV42+CV44+CV46+CX40+CX42+CX44+CX46)&gt;8,BQ40=48),"9.",""))))))))))))</f>
        <v/>
      </c>
      <c r="G230" s="457" t="str">
        <f t="shared" si="215"/>
        <v/>
      </c>
      <c r="H230" s="458"/>
      <c r="I230" s="458"/>
      <c r="J230" s="458"/>
      <c r="K230" s="459"/>
      <c r="L230" s="455" t="e">
        <f t="shared" si="210"/>
        <v>#N/A</v>
      </c>
      <c r="M230" s="460"/>
      <c r="N230" s="460"/>
      <c r="O230" s="456"/>
      <c r="P230" s="461" t="str">
        <f>IF(AND(I51="ANO",BL38=4,F230="9."),1,IF(AND(I51="ANO",BL38=3,BQ40=34,F230="9."),15,IF(AND(I51="ANO",BL38=3,BQ40&lt;&gt;44,F230="9."),20,IF(AND(I51="ANO",BL38=3,BQ40=44,F230="9."),15,""))))</f>
        <v/>
      </c>
      <c r="Q230" s="458"/>
      <c r="R230" s="459"/>
      <c r="S230" s="462"/>
      <c r="T230" s="463"/>
      <c r="U230" s="464"/>
      <c r="V230" s="132"/>
      <c r="W230" s="457" t="str">
        <f>IF(AND(I51="ANO",(CV40+CV42+CV44+CV46+CX40+CX42)&gt;36,BQ40=36),"33.",IF(AND(I51="ANO",(CV40+CV42+CV44+CV46+CX40+CX42+CX44+CX46)&gt;36,BQ40=28),"33.",IF(AND(I51="ANO",(CV40+CV42+CV44+CV46+CX40+CX42+CX44+CX46)&gt;36,BQ40=38),"33.",IF(AND(I51="ANO",(CV40+CV42+CV44+CV46+CX40+CX42+CX44+CX46)&gt;36,BQ40=48),"33.",""))))</f>
        <v/>
      </c>
      <c r="X230" s="458"/>
      <c r="Y230" s="458"/>
      <c r="Z230" s="459"/>
      <c r="AA230" s="457" t="str">
        <f t="shared" si="211"/>
        <v/>
      </c>
      <c r="AB230" s="458"/>
      <c r="AC230" s="458"/>
      <c r="AD230" s="458"/>
      <c r="AE230" s="458"/>
      <c r="AF230" s="458"/>
      <c r="AG230" s="458"/>
      <c r="AH230" s="458"/>
      <c r="AI230" s="458"/>
      <c r="AJ230" s="458"/>
      <c r="AK230" s="459"/>
      <c r="AL230" s="455" t="e">
        <f t="shared" si="212"/>
        <v>#N/A</v>
      </c>
      <c r="AM230" s="456"/>
      <c r="AN230" s="36" t="str">
        <f>IF(AND(I51="ANO",BL38=4,CP61&gt;36),0,IF(AND(I51="ANO",BL38=3,BQ40=36,W230="33."),8,IF(AND(I51="ANO",BL38=3,BQ40=28,W230="33."),8,"")))</f>
        <v/>
      </c>
      <c r="AO230" s="167"/>
      <c r="AP230" s="182">
        <v>37</v>
      </c>
      <c r="AQ230"/>
      <c r="AR230" s="6"/>
      <c r="AS230" s="6"/>
      <c r="AT230" s="110" t="str">
        <f t="shared" si="214"/>
        <v/>
      </c>
      <c r="AU230" s="178" t="s">
        <v>64</v>
      </c>
      <c r="AV230" s="179" t="e">
        <f>IF(AND(I51="ANO",CV40&gt;4,BQ40=22),DB64,IF(AND(I51="ANO",CV40&lt;5,CV42&gt;4,BQ40=22),DB75,IF(AND(I51="ANO",CV40&gt;4,BQ40=32),DB64,IF(AND(I51="ANO",CV40&lt;5,CV42&gt;4,BQ40=32),DB75,IF(AND(I51="ANO",CV40&gt;4,BQ40=42),DB64,IF(AND(I51="ANO",CV40&lt;5,CV42&gt;4,BQ40=42),DB75,IF(AND(I51="ANO",BQ40=33,DD150&gt;0),"3. z baráže",IF(AND(I51="ANO",BQ40=33),DB153,IF(AND(I51="ANO",BQ40=24),DB62,IF(AND(I51="ANO",(CP153+CP154)=2,BQ40=34,F159&lt;F163),B159,IF(AND(I51="ANO",(CP153+CP154)=2,BQ40=34,F159&gt;F163),B163,IF(AND(I51="ANO",(CP151+CP152)=2,BQ40=44,F151&lt;F155),B151,IF(AND(I51="ANO",(CP151+CP152)=2,BQ40=44,F151&gt;F155),B155,IF(AND(I51="ANO",(CP151+CP152)=2,BQ40=36,F151&lt;F155),B151,IF(AND(I51="ANO",(CP151+CP152)=2,BQ40=36,F151&gt;F155),B155,IF(AND(I51="ANO",(CP151+CP152)=2,BQ40=28,F151&lt;F155),B151,IF(AND(I51="ANO",(CP151+CP152)=2,BQ40=28,F151&gt;F155),B155,"")))))))))))))))))</f>
        <v>#VALUE!</v>
      </c>
      <c r="AW230" s="54"/>
      <c r="AX230" s="54" t="b">
        <f>IF(AND(I51="ANO",CV40&gt;4,BQ40=22),DB64,IF(AND(I51="ANO",CV40&lt;5,CV42&gt;4,BQ40=22),DB75))</f>
        <v>0</v>
      </c>
      <c r="AY230" s="54" t="b">
        <f>IF(AND(I51="ANO",CV40&gt;4,BQ40=32),DB64,IF(AND(I51="ANO",CV40&lt;5,CV42&gt;4,BQ40=32),DB75))</f>
        <v>0</v>
      </c>
      <c r="AZ230" s="54" t="b">
        <f>IF(AND(I51="ANO",CV40&gt;4,BQ40=42),DB64,IF(AND(I51="ANO",CV40&lt;5,CV42&gt;4,BQ40=42),DB75))</f>
        <v>0</v>
      </c>
      <c r="BA230" s="54" t="b">
        <f>IF(AND(I51="ANO",BQ40=33,DD150&gt;0),"3. z baráže",IF(AND(I51="ANO",BQ40=33),DB153))</f>
        <v>0</v>
      </c>
      <c r="BB230" s="54" t="b">
        <f>IF(AND(I51="ANO",BQ40=24),DB62)</f>
        <v>0</v>
      </c>
      <c r="BC230" s="54" t="e">
        <f>IF(AND(I51="ANO",(CP153+CP154)=2,BQ40=34,F159&lt;F163),B159,IF(AND(I51="ANO",(CP153+CP154)=2,BQ40=34,F159&gt;F163),B163))</f>
        <v>#VALUE!</v>
      </c>
      <c r="BD230" s="54" t="e">
        <f>IF(AND(I51="ANO",(CP151+CP152)=2,BQ40=44,F151&lt;F155),B151,IF(AND(I51="ANO",(CP151+CP152)=2,BQ40=44,F151&gt;F155),B155))</f>
        <v>#VALUE!</v>
      </c>
      <c r="BE230" s="54" t="e">
        <f>IF(AND(I51="ANO",(CP151+CP152)=2,BQ40=36,F151&lt;F155),B151,IF(AND(I51="ANO",(CP151+CP152)=2,BQ40=36,F151&gt;F155),B155))</f>
        <v>#VALUE!</v>
      </c>
      <c r="BF230" s="54" t="e">
        <f>IF(AND(I51="ANO",(CP151+CP152)=2,BQ40=28,F151&lt;F155),B151,IF(AND(I51="ANO",(CP151+CP152)=2,BQ40=28,F151&gt;F155),B155))</f>
        <v>#VALUE!</v>
      </c>
      <c r="BH230" s="54" t="str">
        <f t="shared" si="213"/>
        <v/>
      </c>
      <c r="BI230" s="179" t="s">
        <v>65</v>
      </c>
      <c r="BJ230" s="179" t="str">
        <f>IF(AND(I51="ANO",DE66=1,BQ40=36),DB66,IF(AND(I51="ANO",DE77=2,BQ40=36),DB77,IF(AND(I51="ANO",DE88=3,BQ40=36),DB88,IF(AND(I51="ANO",DE99=4,BQ40=36),DB99,IF(AND(I51="ANO",DE110=5,BQ40=36),DB110,IF(AND(I51="ANO",DE121=6,BQ40=36),DB121,IF(AND(I51="ANO",DE108=5,DB108&lt;&gt;AA226,DB108&lt;&gt;AA227,DB108&lt;&gt;AA228,DB108&lt;&gt;AA229,BQ40=28),DB108,IF(AND(I51="ANO",DE119=6,DB119&lt;&gt;AA226,DB119&lt;&gt;AA227,DB119&lt;&gt;AA228,DB119&lt;&gt;AA229,BQ40=28),DB119,IF(AND(I51="ANO",DE130=7,DB130&lt;&gt;AA226,DB130&lt;&gt;AA227,DB130&lt;&gt;AA228,DB130&lt;&gt;AA229,BQ40=28),DB130,IF(AND(I51="ANO",DE141=8,DB141&lt;&gt;AA226,DB141&lt;&gt;AA227,DB141&lt;&gt;AA228,DB141&lt;&gt;AA229,BQ40=28),DB141,""))))))))))</f>
        <v/>
      </c>
      <c r="BK230" s="54"/>
      <c r="BL230" s="54"/>
      <c r="BM230" s="54"/>
      <c r="BN230" s="54"/>
      <c r="BO230" s="54"/>
      <c r="BP230" s="54"/>
      <c r="BQ230" s="54"/>
      <c r="BR230" s="54"/>
      <c r="BS230" s="54" t="b">
        <f>IF(AND(I51="ANO",DE66=1,BQ40=36),DB66,IF(AND(I51="ANO",DE77=2,BQ40=36),DB77,IF(AND(I51="ANO",DE88=3,BQ40=36),DB88,IF(AND(I51="ANO",DE99=4,BQ40=36),DB99,IF(AND(I51="ANO",DE110=5,BQ40=36),DB110,IF(AND(I51="ANO",DE121=6,BQ40=36),DB121))))))</f>
        <v>0</v>
      </c>
      <c r="BT230" s="54" t="b">
        <f>IF(AND(I51="ANO",DE108=5,DB108&lt;&gt;AA226,DB108&lt;&gt;AA227,DB108&lt;&gt;AA228,DB108&lt;&gt;AA229,BQ40=28),DB108,IF(AND(I51="ANO",DE119=6,DB119&lt;&gt;AA226,DB119&lt;&gt;AA227,DB119&lt;&gt;AA228,DB119&lt;&gt;AA229,BQ40=28),DB119,IF(AND(I51="ANO",DE130=7,DB130&lt;&gt;AA226,DB130&lt;&gt;AA227,DB130&lt;&gt;AA228,DB130&lt;&gt;AA229,BQ40=28),DB130,IF(AND(I51="ANO",DE141=8,DB141&lt;&gt;AA226,DB141&lt;&gt;AA227,DB141&lt;&gt;AA228,DB141&lt;&gt;AA229,BQ40=28),DB141))))</f>
        <v>0</v>
      </c>
      <c r="CA230" s="9"/>
      <c r="CB230" s="9"/>
      <c r="CC230" s="9"/>
      <c r="CD230" s="9"/>
      <c r="CE230" s="8"/>
      <c r="CF230" s="10"/>
      <c r="CG230" s="10"/>
      <c r="CH230" s="10"/>
      <c r="CK230" s="9"/>
      <c r="CL230" s="9"/>
      <c r="CM230" s="9"/>
      <c r="CN230" s="9"/>
      <c r="CO230" s="8"/>
      <c r="CP230" s="1"/>
      <c r="CU230"/>
      <c r="CV230"/>
      <c r="CW230"/>
      <c r="CX230"/>
      <c r="DB230" s="11"/>
      <c r="DC230" s="11"/>
      <c r="DD230" s="11"/>
      <c r="DE230" s="11"/>
    </row>
    <row r="231" spans="2:109" ht="19.5" customHeight="1" x14ac:dyDescent="0.4">
      <c r="B231" s="1"/>
      <c r="E231" s="181">
        <v>10</v>
      </c>
      <c r="F231" s="36" t="str">
        <f>IF(AND(I51="ANO",CV40&gt;9,BQ40=61),"5.",IF(AND(I51="ANO",(CV40+CV42)&gt;9,BQ40=22),"9.",IF(AND(I51="ANO",(CV40+CV42)&gt;9,BQ40=32),"9.",IF(AND(I51="ANO",(CV40+CV42)&gt;9,BQ40=42),"9.",IF(AND(I51="ANO",(CV40+CV42+CV44)&gt;9,BQ40=33),"9.",IF(AND(I51="ANO",(CV40+CV42+CV44+CV46)&gt;9,BQ40=24),"9.",IF(AND(I51="ANO",(CV40+CV42+CV44+CV46)&gt;9,BQ40=34),"9.",IF(AND(I51="ANO",(CV40+CV42+CV44+CV46)&gt;9,BQ40=44),"9.",IF(AND(I51="ANO",(CV40+CV42+CV44+CV46+CX40+CX42)&gt;9,BQ40=36),"9.",IF(AND(I51="ANO",(CV40+CV42+CV44+CV46+CX40+CX42+CX44+CX46)&gt;9,BQ40=28),"9.",IF(AND(I51="ANO",(CV40+CV42+CV44+CV46+CX40+CX42+CX44+CX46)&gt;9,BQ40=38),"9.",IF(AND(I51="ANO",(CV40+CV42+CV44+CV46+CX40+CX42+CX44+CX46)&gt;9,BQ40=48),"9.",""))))))))))))</f>
        <v/>
      </c>
      <c r="G231" s="457" t="str">
        <f t="shared" si="215"/>
        <v/>
      </c>
      <c r="H231" s="458"/>
      <c r="I231" s="458"/>
      <c r="J231" s="458"/>
      <c r="K231" s="459"/>
      <c r="L231" s="455" t="e">
        <f t="shared" si="210"/>
        <v>#N/A</v>
      </c>
      <c r="M231" s="460"/>
      <c r="N231" s="460"/>
      <c r="O231" s="456"/>
      <c r="P231" s="461" t="str">
        <f>IF(AND(I51="ANO",BL38=4,F231="9."),1,IF(AND(I51="ANO",BL38=3,BQ40=34,F231="9."),15,IF(AND(I51="ANO",BL38=3,BQ40&lt;&gt;44,F231="9."),20,IF(AND(I51="ANO",BL38=3,BQ40=44,F231="9."),15,""))))</f>
        <v/>
      </c>
      <c r="Q231" s="458"/>
      <c r="R231" s="459"/>
      <c r="S231" s="462"/>
      <c r="T231" s="463"/>
      <c r="U231" s="464"/>
      <c r="V231" s="132"/>
      <c r="W231" s="457" t="str">
        <f>IF(AND(I51="ANO",(CV40+CV42+CV44+CV46+CX40+CX42)&gt;37,BQ40=36),"33.",IF(AND(I51="ANO",(CV40+CV42+CV44+CV46+CX40+CX42+CX44+CX46)&gt;37,BQ40=28),"33.",IF(AND(I51="ANO",(CV40+CV42+CV44+CV46+CX40+CX42+CX44+CX46)&gt;37,BQ40=38),"33.",IF(AND(I51="ANO",(CV40+CV42+CV44+CV46+CX40+CX42+CX44+CX46)&gt;37,BQ40=48),"33.",""))))</f>
        <v/>
      </c>
      <c r="X231" s="458"/>
      <c r="Y231" s="458"/>
      <c r="Z231" s="459"/>
      <c r="AA231" s="457" t="str">
        <f t="shared" si="211"/>
        <v/>
      </c>
      <c r="AB231" s="458"/>
      <c r="AC231" s="458"/>
      <c r="AD231" s="458"/>
      <c r="AE231" s="458"/>
      <c r="AF231" s="458"/>
      <c r="AG231" s="458"/>
      <c r="AH231" s="458"/>
      <c r="AI231" s="458"/>
      <c r="AJ231" s="458"/>
      <c r="AK231" s="459"/>
      <c r="AL231" s="455" t="e">
        <f t="shared" si="212"/>
        <v>#N/A</v>
      </c>
      <c r="AM231" s="456"/>
      <c r="AN231" s="36" t="str">
        <f>IF(AND(I51="ANO",BL38=4,CP61&gt;37),0,IF(AND(I51="ANO",BL38=3,BQ40=36,W231="33."),8,IF(AND(I51="ANO",BL38=3,BQ40=28,W231="33."),8,"")))</f>
        <v/>
      </c>
      <c r="AO231" s="167"/>
      <c r="AP231" s="182">
        <v>38</v>
      </c>
      <c r="AQ231"/>
      <c r="AR231" s="6"/>
      <c r="AS231" s="6"/>
      <c r="AT231" s="110" t="str">
        <f t="shared" si="214"/>
        <v/>
      </c>
      <c r="AU231" s="178" t="s">
        <v>69</v>
      </c>
      <c r="AV231" s="179" t="e">
        <f>IF(AND(I51="ANO",(CV40+CV42)&gt;9,BQ40=22),DB75,IF(AND(I51="ANO",(CV40+CV42)&gt;9,BQ40=32),DB75,IF(AND(I51="ANO",(CV40+CV42)&gt;9,BQ40=42),DB75,IF(AND(I51="ANO",CV40&gt;3,BQ40=33),DB63,IF(AND(I51="ANO",CV40&lt;4,CV42&gt;3,BQ40=33),DB74,IF(AND(I51="ANO",CV40&lt;4,CV42&lt;4,CV44&gt;3,BQ40=33),DB85,IF(AND(I51="ANO",BQ40=24),DB73,IF(AND(I51="ANO",(CP155+CP156)=2,BQ40=34,F167&lt;F171),B167,IF(AND(I51="ANO",(CP155+CP156)=2,BQ40=34,F167&gt;F171),B171,IF(AND(I51="ANO",(CP153+CP154)=2,BQ40=44,F159&lt;F163),B159,IF(AND(I51="ANO",(CP153+CP154)=2,BQ40=44,F159&gt;F163),B163,IF(AND(I51="ANO",(CP153+CP154)=2,BQ40=36,F159&lt;F163),B159,IF(AND(I51="ANO",(CP153+CP154)=2,BQ40=36,F159&gt;F163),B163,IF(AND(I51="ANO",(CP153+CP154)=2,BQ40=28,F159&lt;F163),B159,IF(AND(I51="ANO",(CP153+CP154)=2,BQ40=28,F159&gt;F163),B163,"")))))))))))))))</f>
        <v>#VALUE!</v>
      </c>
      <c r="AW231" s="54"/>
      <c r="AX231" s="54" t="b">
        <f>IF(AND(I51="ANO",(CV40+CV42)&gt;9,BQ40=22),DB75)</f>
        <v>0</v>
      </c>
      <c r="AY231" s="54" t="b">
        <f>IF(AND(I51="ANO",(CV40+CV42)&gt;9,BQ40=32),DB75)</f>
        <v>0</v>
      </c>
      <c r="AZ231" s="54" t="b">
        <f>IF(AND(I51="ANO",(CV40+CV42)&gt;9,BQ40=42),DB75)</f>
        <v>0</v>
      </c>
      <c r="BA231" s="54" t="b">
        <f>IF(AND(I51="ANO",CV40&gt;3,BQ40=33),DB63,IF(AND(I51="ANO",CV40&lt;4,CV42&gt;3,BQ40=33),DB74,IF(AND(I51="ANO",CV40&lt;4,CV42&lt;4,CV44&gt;3,BQ40=33),DB85)))</f>
        <v>0</v>
      </c>
      <c r="BB231" s="54" t="b">
        <f>IF(AND(I51="ANO",BQ40=24),DB73)</f>
        <v>0</v>
      </c>
      <c r="BC231" s="54" t="e">
        <f>IF(AND(I51="ANO",(CP155+CP156)=2,BQ40=34,F167&lt;F171),B167,IF(AND(I51="ANO",(CP155+CP156)=2,BQ40=34,F167&gt;F171),B171))</f>
        <v>#VALUE!</v>
      </c>
      <c r="BD231" s="54" t="e">
        <f>IF(AND(I51="ANO",(CP153+CP154)=2,BQ40=44,F159&lt;F163),B159,IF(AND(I51="ANO",(CP153+CP154)=2,BQ40=44,F159&gt;F163),B163))</f>
        <v>#VALUE!</v>
      </c>
      <c r="BE231" s="54" t="e">
        <f>IF(AND(I51="ANO",(CP153+CP154)=2,BQ40=36,F159&lt;F163),B159,IF(AND(I51="ANO",(CP153+CP154)=2,BQ40=36,F159&gt;F163),B163))</f>
        <v>#VALUE!</v>
      </c>
      <c r="BF231" s="54" t="e">
        <f>IF(AND(I51="ANO",(CP153+CP154)=2,BQ40=28,F159&lt;F163),B159,IF(AND(I51="ANO",(CP153+CP154)=2,BQ40=28,F159&gt;F163),B163))</f>
        <v>#VALUE!</v>
      </c>
      <c r="BH231" s="54" t="str">
        <f t="shared" si="213"/>
        <v/>
      </c>
      <c r="BI231" s="179" t="s">
        <v>70</v>
      </c>
      <c r="BJ231" s="179" t="str">
        <f>IF(AND(I51="ANO",DE77=2,DB77&lt;&gt;AA230,BQ40=36),DB77,IF(AND(I51="ANO",DE88=3,DB88&lt;&gt;AA230,BQ40=36),DB88,IF(AND(I51="ANO",DE99=4,DB99&lt;&gt;AA230,BQ40=36),DB99,IF(AND(I51="ANO",DE110=5,DB110&lt;&gt;AA230,BQ40=36),DB110,IF(AND(I51="ANO",DE121=6,DB121&lt;&gt;AA230,BQ40=36),DB121,IF(AND(I51="ANO",DE119=6,DB119&lt;&gt;AA226,DB119&lt;&gt;AA227,DB119&lt;&gt;AA228,DB119&lt;&gt;AA229,DB119&lt;&gt;AA230,BQ40=28),DB119,IF(AND(I51="ANO",DE130=7,DB130&lt;&gt;AA226,DB130&lt;&gt;AA227,DB130&lt;&gt;AA228,DB130&lt;&gt;AA229,DB130&lt;&gt;AA230,BQ40=28),DB130,IF(AND(I51="ANO",DE141=8,DB141&lt;&gt;AA226,DB141&lt;&gt;AA227,DB141&lt;&gt;AA228,DB141&lt;&gt;AA229,DB141&lt;&gt;AA230,BQ40=28),DB141,""))))))))</f>
        <v/>
      </c>
      <c r="BK231" s="54"/>
      <c r="BL231" s="54"/>
      <c r="BM231" s="54"/>
      <c r="BN231" s="54"/>
      <c r="BO231" s="54"/>
      <c r="BP231" s="54"/>
      <c r="BQ231" s="54"/>
      <c r="BR231" s="54"/>
      <c r="BS231" s="54" t="b">
        <f>IF(AND(I51="ANO",DE77=2,DB77&lt;&gt;AA230,BQ40=36),DB77,IF(AND(I51="ANO",DE88=3,DB88&lt;&gt;AA230,BQ40=36),DB88,IF(AND(I51="ANO",DE99=4,DB99&lt;&gt;AA230,BQ40=36),DB99,IF(AND(I51="ANO",DE110=5,DB110&lt;&gt;AA230,BQ40=36),DB110,IF(AND(I51="ANO",DE121=6,DB121&lt;&gt;AA230,BQ40=36),DB121)))))</f>
        <v>0</v>
      </c>
      <c r="BT231" s="54" t="b">
        <f>IF(AND(I51="ANO",DE119=6,DB119&lt;&gt;AA226,DB119&lt;&gt;AA227,DB119&lt;&gt;AA228,DB119&lt;&gt;AA229,DB119&lt;&gt;AA230,BQ40=28),DB119,IF(AND(I51="ANO",DE130=7,DB130&lt;&gt;AA226,DB130&lt;&gt;AA227,DB130&lt;&gt;AA228,DB130&lt;&gt;AA229,DB130&lt;&gt;AA230,BQ40=28),DB130,IF(AND(I51="ANO",DE141=8,DB141&lt;&gt;AA226,DB141&lt;&gt;AA227,DB141&lt;&gt;AA228,DB141&lt;&gt;AA229,DB141&lt;&gt;AA230,BQ40=28),DB141)))</f>
        <v>0</v>
      </c>
      <c r="CA231" s="9"/>
      <c r="CB231" s="9"/>
      <c r="CC231" s="9"/>
      <c r="CD231" s="9"/>
      <c r="CE231" s="8"/>
      <c r="CF231" s="10"/>
      <c r="CG231" s="10"/>
      <c r="CH231" s="10"/>
      <c r="CK231" s="9"/>
      <c r="CL231" s="9"/>
      <c r="CM231" s="9"/>
      <c r="CN231" s="9"/>
      <c r="CO231" s="8"/>
      <c r="CP231" s="1"/>
      <c r="CU231"/>
      <c r="CV231"/>
      <c r="CW231"/>
      <c r="CX231"/>
      <c r="DB231" s="11"/>
      <c r="DC231" s="11"/>
      <c r="DD231" s="11"/>
      <c r="DE231" s="11"/>
    </row>
    <row r="232" spans="2:109" ht="19.5" customHeight="1" x14ac:dyDescent="0.4">
      <c r="B232" s="1"/>
      <c r="E232" s="181">
        <v>11</v>
      </c>
      <c r="F232" s="36" t="str">
        <f>IF(AND(I51="ANO",CV40&gt;10,BQ40=61),"5.",IF(AND(I51="ANO",(CV40+CV42)&gt;10,BQ40=22),"11.",IF(AND(I51="ANO",(CV40+CV42)&gt;10,BQ40=32),"11.",IF(AND(I51="ANO",(CV40+CV42)&gt;10,BQ40=42),"11.",IF(AND(I51="ANO",(CV40+CV42+CV44)&gt;10,BQ40=33),"9.",IF(AND(I51="ANO",(CV40+CV42+CV44+CV46)&gt;10,BQ40=24),"9.",IF(AND(I51="ANO",(CV40+CV42+CV44+CV46)&gt;9,BQ40=34),"9.",IF(AND(I51="ANO",(CV40+CV42+CV44+CV46)&gt;10,BQ40=44),"9.",IF(AND(I51="ANO",(CV40+CV42+CV44+CV46+CX40+CX42)&gt;10,BQ40=36),"9.",IF(AND(I51="ANO",(CV40+CV42+CV44+CV46+CX40+CX42+CX44+CX46)&gt;10,BQ40=28),"9.",IF(AND(I51="ANO",(CV40+CV42+CV44+CV46+CX40+CX42+CX44+CX46)&gt;10,BQ40=38),"9.",IF(AND(I51="ANO",(CV40+CV42+CV44+CV46+CX40+CX42+CX44+CX46)&gt;10,BQ40=48),"9.",""))))))))))))</f>
        <v/>
      </c>
      <c r="G232" s="457" t="str">
        <f t="shared" si="215"/>
        <v/>
      </c>
      <c r="H232" s="458"/>
      <c r="I232" s="458"/>
      <c r="J232" s="458"/>
      <c r="K232" s="459"/>
      <c r="L232" s="455" t="e">
        <f t="shared" si="210"/>
        <v>#N/A</v>
      </c>
      <c r="M232" s="460"/>
      <c r="N232" s="460"/>
      <c r="O232" s="456"/>
      <c r="P232" s="461" t="str">
        <f>IF(AND(I51="ANO",BL38=4,F232="9."),1,IF(AND(I51="ANO",BL38=4,F232="11."),1,IF(AND(I51="ANO",BL38=3,BQ40=34,F232="9."),15,IF(AND(I51="ANO",BL38=3,BQ40&lt;&gt;44,F232="9."),20,IF(AND(I51="ANO",BL38=3,BQ40=44,F232="9."),15,IF(AND(I51="ANO",BL38=3,F232="11."),10,""))))))</f>
        <v/>
      </c>
      <c r="Q232" s="458"/>
      <c r="R232" s="459"/>
      <c r="S232" s="462"/>
      <c r="T232" s="463"/>
      <c r="U232" s="464"/>
      <c r="V232" s="132"/>
      <c r="W232" s="457" t="str">
        <f>IF(AND(I51="ANO",(CV40+CV42+CV44+CV46+CX40+CX42)&gt;38,BQ40=36),"33.",IF(AND(I51="ANO",(CV40+CV42+CV44+CV46+CX40+CX42+CX44+CX46)&gt;38,BQ40=28),"33.",IF(AND(I51="ANO",(CV40+CV42+CV44+CV46+CX40+CX42+CX44+CX46)&gt;38,BQ40=38),"33.",IF(AND(I51="ANO",(CV40+CV42+CV44+CV46+CX40+CX42+CX44+CX46)&gt;38,BQ40=48),"33.",""))))</f>
        <v/>
      </c>
      <c r="X232" s="458"/>
      <c r="Y232" s="458"/>
      <c r="Z232" s="459"/>
      <c r="AA232" s="457" t="str">
        <f t="shared" si="211"/>
        <v/>
      </c>
      <c r="AB232" s="458"/>
      <c r="AC232" s="458"/>
      <c r="AD232" s="458"/>
      <c r="AE232" s="458"/>
      <c r="AF232" s="458"/>
      <c r="AG232" s="458"/>
      <c r="AH232" s="458"/>
      <c r="AI232" s="458"/>
      <c r="AJ232" s="458"/>
      <c r="AK232" s="459"/>
      <c r="AL232" s="455" t="e">
        <f t="shared" si="212"/>
        <v>#N/A</v>
      </c>
      <c r="AM232" s="456"/>
      <c r="AN232" s="36" t="str">
        <f>IF(AND(I51="ANO",BL38=4,CP61&gt;38),0,IF(AND(I51="ANO",BL38=3,BQ40=36,W232="33."),8,IF(AND(I51="ANO",BL38=3,BQ40=28,W232="33."),8,"")))</f>
        <v/>
      </c>
      <c r="AO232" s="167"/>
      <c r="AP232" s="182">
        <v>39</v>
      </c>
      <c r="AQ232"/>
      <c r="AR232" s="6"/>
      <c r="AS232" s="6"/>
      <c r="AT232" s="110" t="str">
        <f t="shared" si="214"/>
        <v/>
      </c>
      <c r="AU232" s="178" t="s">
        <v>73</v>
      </c>
      <c r="AV232" s="179" t="e">
        <f>IF(AND(I51="ANO",CV40&gt;5,BQ40=22),DB65,IF(AND(I51="ANO",CV40&lt;6,CV42&gt;5,BQ40=22),DB76,IF(AND(I51="ANO",CV40&gt;5,BQ40=32),DB65,IF(AND(I51="ANO",CV40&lt;6,CV42&gt;5,BQ40=32),DB76,IF(AND(I51="ANO",CV40&gt;5,BQ40=42),DB65,IF(AND(I51="ANO",CV40&lt;6,CV42&gt;5,BQ40=42),DB76,IF(AND(I51="ANO",CV40&gt;3,CV42&gt;3,BQ40=33),DB74,IF(AND(I51="ANO",(CV40+CV42)&gt;6,CV44&gt;3,BQ40=33),DB85,IF(AND(I51="ANO",BQ40=24),DB84,IF(AND(I51="ANO",(CP161+CP162)=2,BQ40=34,F191&lt;F195),B191,IF(AND(I51="ANO",(CP161+CP162)=2,BQ40=34,F191&gt;F195),B195,IF(AND(I51="ANO",(CP155+CP156)=2,BQ40=44,F167&lt;F171),B167,IF(AND(I51="ANO",(CP155+CP156)=2,BQ40=44,F167&gt;F171),B171,IF(AND(I51="ANO",(CP155+CP156)=2,BQ40=36,F167&lt;F171),B167,IF(AND(I51="ANO",(CP155+CP156)=2,BQ40=36,F167&gt;F171),B171,IF(AND(I51="ANO",(CP155+CP156)=2,BQ40=28,F167&lt;F171),B167,IF(AND(I51="ANO",(CP155+CP156)=2,BQ40=28,F167&gt;F171),B171,"")))))))))))))))))</f>
        <v>#VALUE!</v>
      </c>
      <c r="AW232" s="54"/>
      <c r="AX232" s="54" t="b">
        <f>IF(AND(I51="ANO",CV40&gt;5,BQ40=22),DB65,IF(AND(I51="ANO",CV40&lt;6,CV42&gt;5,BQ40=22),DB76))</f>
        <v>0</v>
      </c>
      <c r="AY232" s="54" t="b">
        <f>IF(AND(I51="ANO",CV40&gt;5,BQ40=32),DB65,IF(AND(I51="ANO",CV40&lt;6,CV42&gt;5,BQ40=32),DB76))</f>
        <v>0</v>
      </c>
      <c r="AZ232" s="54" t="b">
        <f>IF(AND(I51="ANO",CV40&gt;5,BQ40=42),DB65,IF(AND(I51="ANO",CV40&lt;6,CV42&gt;5,BQ40=42),DB76))</f>
        <v>0</v>
      </c>
      <c r="BA232" s="54" t="b">
        <f>IF(AND(I51="ANO",CV40&gt;3,CV42&gt;3,BQ40=33),DB74,IF(AND(I51="ANO",(CV40+CV42)&gt;6,CV44&gt;3,BQ40=33),DB85))</f>
        <v>0</v>
      </c>
      <c r="BB232" s="54" t="b">
        <f>IF(AND(I51="ANO",BQ40=24),DB84)</f>
        <v>0</v>
      </c>
      <c r="BC232" s="54" t="e">
        <f>IF(AND(I51="ANO",(CP161+CP162)=2,BQ40=34,F191&lt;F195),B191,IF(AND(I51="ANO",(CP161+CP162)=2,BQ40=34,F191&gt;F195),B195))</f>
        <v>#VALUE!</v>
      </c>
      <c r="BD232" s="54" t="e">
        <f>IF(AND(I51="ANO",(CP155+CP156)=2,BQ40=44,F167&lt;F171),B167,IF(AND(I51="ANO",(CP155+CP156)=2,BQ40=44,F167&gt;F171),B171))</f>
        <v>#VALUE!</v>
      </c>
      <c r="BE232" s="54" t="e">
        <f>IF(AND(I51="ANO",(CP155+CP156)=2,BQ40=36,F167&lt;F171),B167,IF(AND(I51="ANO",(CP155+CP156)=2,BQ40=36,F167&gt;F171),B171))</f>
        <v>#VALUE!</v>
      </c>
      <c r="BF232" s="54" t="e">
        <f>IF(AND(I51="ANO",(CP155+CP156)=2,BQ40=28,F167&lt;F171),B167,IF(AND(I51="ANO",(CP155+CP156)=2,BQ40=28,F167&gt;F171),B171))</f>
        <v>#VALUE!</v>
      </c>
      <c r="BH232" s="54" t="str">
        <f t="shared" si="213"/>
        <v/>
      </c>
      <c r="BI232" s="179" t="s">
        <v>74</v>
      </c>
      <c r="BJ232" s="179" t="str">
        <f>IF(AND(I51="ANO",DE88=3,DB88&lt;&gt;AA230,DB88&lt;&gt;AA231,BQ40=36),DB88,IF(AND(I51="ANO",DE99=4,DB99&lt;&gt;AA230,DB99&lt;&gt;AA231,BQ40=36),DB99,IF(AND(I51="ANO",DE110=5,DB110&lt;&gt;AA230,DB110&lt;&gt;AA231,BQ40=36),DB110,IF(AND(I51="ANO",DE121=6,DB121&lt;&gt;AA230,DB121&lt;&gt;AA231,BQ40=36),DB121,IF(AND(I51="ANO",DE130=7,DB130&lt;&gt;AA226,DB130&lt;&gt;AA227,DB130&lt;&gt;AA228,DB130&lt;&gt;AA229,DB130&lt;&gt;AA231,DB130&lt;&gt;AA230,BQ40=28),DB130,IF(AND(I51="ANO",DE141=8,DB141&lt;&gt;AA226,DB141&lt;&gt;AA227,DB141&lt;&gt;AA228,DB141&lt;&gt;AA229,DB141&lt;&gt;AA230,DB141&lt;&gt;AA231,BQ40=28),DB141,""))))))</f>
        <v/>
      </c>
      <c r="BK232" s="54"/>
      <c r="BL232" s="54"/>
      <c r="BM232" s="54"/>
      <c r="BN232" s="54"/>
      <c r="BO232" s="54"/>
      <c r="BP232" s="54"/>
      <c r="BQ232" s="54"/>
      <c r="BR232" s="54"/>
      <c r="BS232" s="54" t="b">
        <f>IF(AND(I51="ANO",DE88=3,DB88&lt;&gt;AA230,DB88&lt;&gt;AA231,BQ40=36),DB88,IF(AND(I51="ANO",DE99=4,DB99&lt;&gt;AA230,DB99&lt;&gt;AA231,BQ40=36),DB99,IF(AND(I51="ANO",DE110=5,DB110&lt;&gt;AA230,DB110&lt;&gt;AA231,BQ40=36),DB110,IF(AND(I51="ANO",DE121=6,DB121&lt;&gt;AA230,DB121&lt;&gt;AA231,BQ40=36),DB121))))</f>
        <v>0</v>
      </c>
      <c r="BT232" s="54" t="b">
        <f>IF(AND(I51="ANO",DE130=7,DB130&lt;&gt;AA226,DB130&lt;&gt;AA227,DB130&lt;&gt;AA228,DB130&lt;&gt;AA229,DB130&lt;&gt;AA231,DB130&lt;&gt;AA230,BQ40=28),DB130,IF(AND(I51="ANO",DE141=8,DB141&lt;&gt;AA226,DB141&lt;&gt;AA227,DB141&lt;&gt;AA228,DB141&lt;&gt;AA229,DB141&lt;&gt;AA230,DB141&lt;&gt;AA231,BQ40=28),DB141))</f>
        <v>0</v>
      </c>
      <c r="CA232" s="9"/>
      <c r="CB232" s="9"/>
      <c r="CC232" s="9"/>
      <c r="CD232" s="9"/>
      <c r="CE232" s="8"/>
      <c r="CF232" s="10"/>
      <c r="CG232" s="10"/>
      <c r="CH232" s="10"/>
      <c r="CK232" s="9"/>
      <c r="CL232" s="9"/>
      <c r="CM232" s="9"/>
      <c r="CN232" s="9"/>
      <c r="CO232" s="8"/>
      <c r="CP232" s="1"/>
      <c r="CU232"/>
      <c r="CV232"/>
      <c r="CW232"/>
      <c r="CX232"/>
      <c r="DB232" s="11"/>
      <c r="DC232" s="11"/>
      <c r="DD232" s="11"/>
      <c r="DE232" s="11"/>
    </row>
    <row r="233" spans="2:109" ht="19.5" customHeight="1" x14ac:dyDescent="0.4">
      <c r="B233" s="1"/>
      <c r="E233" s="181">
        <v>12</v>
      </c>
      <c r="F233" s="36" t="str">
        <f>IF(AND(I51="ANO",CV40&gt;11,BQ40=61),"5.",IF(AND(I51="ANO",(CV40+CV42)&gt;11,BQ40=22),"11.",IF(AND(I51="ANO",(CV40+CV42)&gt;11,BQ40=32),"11.",IF(AND(I51="ANO",(CV40+CV42)&gt;11,BQ40=42),"11.",IF(AND(I51="ANO",(CV40+CV42+CV44)&gt;11,BQ40=33),"9.",IF(AND(I51="ANO",(CV40+CV42+CV44+CV46)&gt;11,BQ40=24),"9.",IF(AND(I51="ANO",(CV40+CV42+CV44+CV46)&gt;9,BQ40=34),"9.",IF(AND(I51="ANO",(CV40+CV42+CV44+CV46)&gt;11,BQ40=44),"9.",IF(AND(I51="ANO",(CV40+CV42+CV44+CV46+CX40+CX42)&gt;11,BQ40=36),"9.",IF(AND(I51="ANO",(CV40+CV42+CV44+CV46+CX40+CX42+CX44+CX46)&gt;11,BQ40=28),"9.",IF(AND(I51="ANO",(CV40+CV42+CV44+CV46+CX40+CX42+CX44+CX46)&gt;11,BQ40=38),"9.",IF(AND(I51="ANO",(CV40+CV42+CV44+CV46+CX40+CX42+CX44+CX46)&gt;11,BQ40=48),"9.",""))))))))))))</f>
        <v/>
      </c>
      <c r="G233" s="457" t="str">
        <f t="shared" si="215"/>
        <v/>
      </c>
      <c r="H233" s="458"/>
      <c r="I233" s="458"/>
      <c r="J233" s="458"/>
      <c r="K233" s="459"/>
      <c r="L233" s="455" t="e">
        <f t="shared" si="210"/>
        <v>#N/A</v>
      </c>
      <c r="M233" s="460"/>
      <c r="N233" s="460"/>
      <c r="O233" s="456"/>
      <c r="P233" s="461" t="str">
        <f>IF(AND(I51="ANO",BL38=4,F233="9."),1,IF(AND(I51="ANO",BL38=4,F233="11."),1,IF(AND(I51="ANO",BL38=3,BQ40=34,F233="9."),15,IF(AND(I51="ANO",BL38=3,BQ40&lt;&gt;44,F233="9."),20,IF(AND(I51="ANO",BL38=3,BQ40=44,F233="9."),15,IF(AND(I51="ANO",BL38=3,F233="11."),10,""))))))</f>
        <v/>
      </c>
      <c r="Q233" s="458"/>
      <c r="R233" s="459"/>
      <c r="S233" s="462"/>
      <c r="T233" s="463"/>
      <c r="U233" s="464"/>
      <c r="V233" s="132"/>
      <c r="W233" s="457" t="str">
        <f>IF(AND(I51="ANO",(CV40+CV42+CV44+CV46+CX40+CX42)&gt;39,BQ40=36),"33.",IF(AND(I51="ANO",(CV40+CV42+CV44+CV46+CX40+CX42+CX44+CX46)&gt;39,BQ40=28),"33.",IF(AND(I51="ANO",(CV40+CV42+CV44+CV46+CX40+CX42+CX44+CX46)&gt;39,BQ40=38),"33.",IF(AND(I51="ANO",(CV40+CV42+CV44+CV46+CX40+CX42+CX44+CX46)&gt;39,BQ40=48),"33.",""))))</f>
        <v/>
      </c>
      <c r="X233" s="458"/>
      <c r="Y233" s="458"/>
      <c r="Z233" s="459"/>
      <c r="AA233" s="457" t="str">
        <f t="shared" si="211"/>
        <v/>
      </c>
      <c r="AB233" s="458"/>
      <c r="AC233" s="458"/>
      <c r="AD233" s="458"/>
      <c r="AE233" s="458"/>
      <c r="AF233" s="458"/>
      <c r="AG233" s="458"/>
      <c r="AH233" s="458"/>
      <c r="AI233" s="458"/>
      <c r="AJ233" s="458"/>
      <c r="AK233" s="459"/>
      <c r="AL233" s="455" t="e">
        <f t="shared" si="212"/>
        <v>#N/A</v>
      </c>
      <c r="AM233" s="456"/>
      <c r="AN233" s="36" t="str">
        <f>IF(AND(I51="ANO",BL38=4,CP61&gt;39),0,IF(AND(I51="ANO",BL38=3,BQ40=36,W233="33."),8,IF(AND(I51="ANO",BL38=3,BQ40=28,W233="33."),8,"")))</f>
        <v/>
      </c>
      <c r="AO233" s="167"/>
      <c r="AP233" s="182">
        <v>40</v>
      </c>
      <c r="AQ233" s="121"/>
      <c r="AR233" s="6"/>
      <c r="AS233" s="6"/>
      <c r="AT233" s="110" t="str">
        <f t="shared" si="214"/>
        <v/>
      </c>
      <c r="AU233" s="178" t="s">
        <v>77</v>
      </c>
      <c r="AV233" s="179" t="e">
        <f>IF(AND(I51="ANO",(CV40+CV42)&gt;11,BQ40=22),DB76,IF(AND(I51="ANO",(CV40+CV42)&gt;11,BQ40=32),DB76,IF(AND(I51="ANO",(CV40+CV42)&gt;11,BQ40=42),DB76,IF(AND(I51="ANO",(CV40+CV42)&gt;7,CV44&gt;3,BQ40=33),DB85,IF(AND(I51="ANO",BQ40=24),DB95,IF(AND(I51="ANO",(CP163+CP164)=2,BQ40=34,F199&lt;F203),B199,IF(AND(I51="ANO",(CP163+CP164)=2,BQ40=34,F199&gt;F203),B203,IF(AND(I51="ANO",(CP157+CP158)=2,BQ40=44,F175&lt;F179),B175,IF(AND(I51="ANO",(CP157+CP158)=2,BQ40=44,F175&gt;F179),B179,IF(AND(I51="ANO",(CP157+CP158)=2,BQ40=36,F175&lt;F179),B175,IF(AND(I51="ANO",(CP157+CP158)=2,BQ40=36,F175&gt;F179),B179,IF(AND(I51="ANO",(CP157+CP158)=2,BQ40=28,F175&lt;F179),B175,IF(AND(I51="ANO",(CP157+CP158)=2,BQ40=28,F175&gt;F179),B179,"")))))))))))))</f>
        <v>#VALUE!</v>
      </c>
      <c r="AW233" s="54"/>
      <c r="AX233" s="54" t="b">
        <f>IF(AND(I51="ANO",(CV40+CV42)&gt;11,BQ40=22),DB76)</f>
        <v>0</v>
      </c>
      <c r="AY233" s="54" t="b">
        <f>IF(AND(I51="ANO",(CV40+CV42)&gt;11,BQ40=32),DB76)</f>
        <v>0</v>
      </c>
      <c r="AZ233" s="54" t="b">
        <f>IF(AND(I51="ANO",(CV40+CV42)&gt;11,BQ40=42),DB76)</f>
        <v>0</v>
      </c>
      <c r="BA233" s="54" t="b">
        <f>IF(AND(I51="ANO",(CV40+CV42)&gt;7,CV44&gt;3,BQ40=33),DB85)</f>
        <v>0</v>
      </c>
      <c r="BB233" s="54" t="b">
        <f>IF(AND(I51="ANO",BQ40=24),DB95)</f>
        <v>0</v>
      </c>
      <c r="BC233" s="54" t="e">
        <f>IF(AND(I51="ANO",(CP163+CP164)=2,BQ40=34,F199&lt;F203),B199,IF(AND(I51="ANO",(CP163+CP164)=2,BQ40=34,F199&gt;F203),B203))</f>
        <v>#VALUE!</v>
      </c>
      <c r="BD233" s="54" t="e">
        <f>IF(AND(I51="ANO",(CP157+CP158)=2,BQ40=44,F175&lt;F179),B175,IF(AND(I51="ANO",(CP157+CP158)=2,BQ40=44,F175&gt;F179),B179))</f>
        <v>#VALUE!</v>
      </c>
      <c r="BE233" s="54" t="e">
        <f>IF(AND(I51="ANO",(CP157+CP158)=2,BQ40=36,F175&lt;F179),B175,IF(AND(I51="ANO",(CP157+CP158)=2,BQ40=36,F175&gt;F179),B179))</f>
        <v>#VALUE!</v>
      </c>
      <c r="BF233" s="54" t="e">
        <f>IF(AND(I51="ANO",(CP157+CP158)=2,BQ40=28,F175&lt;F179),B175,IF(AND(I51="ANO",(CP157+CP158)=2,BQ40=28,F175&gt;F179),B179))</f>
        <v>#VALUE!</v>
      </c>
      <c r="BH233" s="54" t="str">
        <f t="shared" si="213"/>
        <v/>
      </c>
      <c r="BI233" s="179" t="s">
        <v>78</v>
      </c>
      <c r="BJ233" s="179" t="str">
        <f>IF(AND(I51="ANO",DE141=8,DB141&lt;&gt;AA226,DB141&lt;&gt;AA227,DB141&lt;&gt;AA228,DB141&lt;&gt;AA229,DB141&lt;&gt;AA230,DB141&lt;&gt;AA231,DB141&lt;&gt;AA232,BQ40=28),DB141,IF(AND(I51="ANO",DE99=4,DB99&lt;&gt;AA230,DB99&lt;&gt;AA231,DB99&lt;&gt;AA232,BQ40=36),DB99,IF(AND(I51="ANO",DE110=5,DB110&lt;&gt;AA230,DB110&lt;&gt;AA231,DB110&lt;&gt;AA232,BQ40=36),DB110,IF(AND(I51="ANO",DE121=6,DB121&lt;&gt;AA230,DB121&lt;&gt;AA231,DB121&lt;&gt;AA232,BQ40=36),DB121,""))))</f>
        <v/>
      </c>
      <c r="BK233" s="54"/>
      <c r="BL233" s="54"/>
      <c r="BM233" s="54"/>
      <c r="BN233" s="54"/>
      <c r="BO233" s="54"/>
      <c r="BP233" s="54"/>
      <c r="BQ233" s="54"/>
      <c r="BR233" s="54"/>
      <c r="BS233" s="54" t="b">
        <f>IF(AND(I51="ANO",DE99=4,DB99&lt;&gt;AA230,DB99&lt;&gt;AA231,DB99&lt;&gt;AA232,BQ40=36),DB99,IF(AND(I51="ANO",DE110=5,DB110&lt;&gt;AA230,DB110&lt;&gt;AA231,DB110&lt;&gt;AA232,BQ40=36),DB110,IF(AND(I51="ANO",DE121=6,DB121&lt;&gt;AA230,DB121&lt;&gt;AA231,DB121&lt;&gt;AA232,BQ40=36),DB121)))</f>
        <v>0</v>
      </c>
      <c r="BT233" s="54" t="b">
        <f>IF(AND(I51="ANO",DE141=8,DB141&lt;&gt;AA226,DB141&lt;&gt;AA227,DB141&lt;&gt;AA228,DB141&lt;&gt;AA229,DB141&lt;&gt;AA230,DB141&lt;&gt;AA231,DB141&lt;&gt;AA232,BQ40=28),DB141)</f>
        <v>0</v>
      </c>
      <c r="CA233" s="9"/>
      <c r="CB233" s="9"/>
      <c r="CC233" s="9"/>
      <c r="CD233" s="9"/>
      <c r="CE233" s="8"/>
      <c r="CF233" s="10"/>
      <c r="CG233" s="10"/>
      <c r="CH233" s="10"/>
      <c r="CK233" s="9"/>
      <c r="CL233" s="9"/>
      <c r="CM233" s="9"/>
      <c r="CN233" s="9"/>
      <c r="CO233" s="8"/>
      <c r="CP233" s="1"/>
      <c r="CU233"/>
      <c r="CV233"/>
      <c r="CW233"/>
      <c r="CX233"/>
      <c r="DB233" s="11"/>
      <c r="DC233" s="11"/>
      <c r="DD233" s="11"/>
      <c r="DE233" s="11"/>
    </row>
    <row r="234" spans="2:109" ht="19.5" customHeight="1" x14ac:dyDescent="0.55000000000000004">
      <c r="B234" s="168"/>
      <c r="E234" s="181">
        <v>13</v>
      </c>
      <c r="F234" s="36" t="str">
        <f>IF(AND(I51="ANO",CV40&gt;12,BQ40=61),"5.",IF(AND(I51="ANO",(CV40+CV42)&gt;12,BQ40=22),"13.",IF(AND(I51="ANO",(CV40+CV42)&gt;12,BQ40=32),"13.",IF(AND(I51="ANO",(CV40+CV42)&gt;12,BQ40=42),"13.",IF(AND(I51="ANO",(CV40+CV42+CV44)&gt;12,BQ40=33),"13.",IF(AND(I51="ANO",(CV40+CV42+CV44+CV46)&gt;12,BQ40=24),"13.",IF(AND(I51="ANO",(CV40+CV42+CV44+CV46)&gt;12,BQ40=34),"9.",IF(AND(I51="ANO",(CV40+CV42+CV44+CV46)&gt;12,BQ40=44),"9.",IF(AND(I51="ANO",(CV40+CV42+CV44+CV46+CX40+CX42)&gt;12,BQ40=36),"9.",IF(AND(I51="ANO",(CV40+CV42+CV44+CV46+CX40+CX42+CX44+CX46)&gt;12,BQ40=28),"9.",IF(AND(I51="ANO",(CV40+CV42+CV44+CV46+CX40+CX42+CX44+CX46)&gt;12,BQ40=38),"9.",IF(AND(I51="ANO",(CV40+CV42+CV44+CV46+CX40+CX42+CX44+CX46)&gt;12,BQ40=48),"9.",""))))))))))))</f>
        <v/>
      </c>
      <c r="G234" s="457" t="str">
        <f t="shared" si="215"/>
        <v/>
      </c>
      <c r="H234" s="458"/>
      <c r="I234" s="458"/>
      <c r="J234" s="458"/>
      <c r="K234" s="459"/>
      <c r="L234" s="455" t="e">
        <f t="shared" si="210"/>
        <v>#N/A</v>
      </c>
      <c r="M234" s="460"/>
      <c r="N234" s="460"/>
      <c r="O234" s="456"/>
      <c r="P234" s="461" t="str">
        <f>IF(AND(I51="ANO",BL38=4,F234="9."),1,IF(AND(I51="ANO",BL38=4,F234="11."),1,IF(AND(I51="ANO",BL38=4,F234="13."),1,IF(AND(I51="ANO",BL38=4,F234="15."),1,IF(AND(I51="ANO",BL38=3,BQ40=34,F234="9."),15,IF(AND(I51="ANO",BL38=3,BQ40&lt;&gt;44,F234="9."),20,IF(AND(I51="ANO",BL38=3,BQ40=44,F234="9."),15,IF(AND(I51="ANO",BL38=3,F234="11."),10,IF(AND(I51="ANO",BL38=3,BQ40&lt;&gt;24,F234="13."),8,IF(AND(I51="ANO",BL38=3,BQ40=24,F234="13."),10,""))))))))))</f>
        <v/>
      </c>
      <c r="Q234" s="458"/>
      <c r="R234" s="459"/>
      <c r="S234" s="462"/>
      <c r="T234" s="463"/>
      <c r="U234" s="464"/>
      <c r="V234" s="132"/>
      <c r="W234" s="457" t="str">
        <f>IF(AND(I51="ANO",(CV40+CV42+CV44+CV46+CX40+CX42)&gt;40,BQ40=36),"41.",IF(AND(I51="ANO",(CV40+CV42+CV44+CV46+CX40+CX42+CX44+CX46)&gt;40,BQ40=28),"41.",IF(AND(I51="ANO",(CV40+CV42+CV44+CV46+CX40+CX42+CX44+CX46)&gt;40,BQ40=38),"41.",IF(AND(I51="ANO",(CV40+CV42+CV44+CV46+CX40+CX42+CX44+CX46)&gt;40,BQ40=48),"41.",""))))</f>
        <v/>
      </c>
      <c r="X234" s="458"/>
      <c r="Y234" s="458"/>
      <c r="Z234" s="459"/>
      <c r="AA234" s="457" t="str">
        <f t="shared" si="211"/>
        <v/>
      </c>
      <c r="AB234" s="458"/>
      <c r="AC234" s="458"/>
      <c r="AD234" s="458"/>
      <c r="AE234" s="458"/>
      <c r="AF234" s="458"/>
      <c r="AG234" s="458"/>
      <c r="AH234" s="458"/>
      <c r="AI234" s="458"/>
      <c r="AJ234" s="458"/>
      <c r="AK234" s="459"/>
      <c r="AL234" s="455" t="e">
        <f t="shared" si="212"/>
        <v>#N/A</v>
      </c>
      <c r="AM234" s="456"/>
      <c r="AN234" s="36" t="str">
        <f>IF(AND(I51="ANO",BL38=4,CP61&gt;40),0,IF(AND(I51="ANO",BL38=3,BQ40=36,W234="41."),6,IF(AND(I51="ANO",BL38=3,BQ40=28,W234="41."),6,"")))</f>
        <v/>
      </c>
      <c r="AO234" s="167"/>
      <c r="AP234" s="182">
        <v>41</v>
      </c>
      <c r="AQ234"/>
      <c r="AR234" s="6"/>
      <c r="AS234" s="6"/>
      <c r="AT234" s="110" t="str">
        <f t="shared" si="214"/>
        <v/>
      </c>
      <c r="AU234" s="178" t="s">
        <v>82</v>
      </c>
      <c r="AV234" s="179" t="e">
        <f>IF(AND(I51="ANO",CV40&gt;6,BQ40=22),DB66,IF(AND(I51="ANO",CV40&lt;7,CV42&gt;6,BQ40=22),DB77,IF(AND(I51="ANO",(CP159+CP160)=2,BQ40=28,F183&lt;F187),B183,IF(AND(I51="ANO",(CP159+CP160)=2,BQ40=28,F183&gt;F187),B187,IF(AND(I51="ANO",CV40&gt;6,BQ40=32),DB66,IF(AND(I51="ANO",CV40&lt;7,CV42&gt;6,BQ40=32),DB77,IF(AND(I51="ANO",CV40&gt;4,BQ40=33),DB64,IF(AND(I51="ANO",CV40&lt;5,CV42&gt;4,BQ40=33),DB75,IF(AND(I51="ANO",CV40&lt;5,CV42&lt;5,CV44&gt;4,BQ40=33),DB86,IF(AND(I51="ANO",(CP159+CP160)=2,BQ40=36,F183&lt;F187),B183,IF(AND(I51="ANO",(CP159+CP160)=2,BQ40=36,F183&gt;F187),B187,IF(AND(I51="ANO",CV40&gt;6,BQ40=42),DB66,IF(AND(I51="ANO",CV40&lt;7,CV42&gt;6,BQ40=42),DB77,IF(AND(I51="ANO",(CP159+CP160)=2,BQ40=44,F183&lt;F187),B183,IF(AND(I51="ANO",(CP159+CP160)=2,BQ40=44,F183&gt;F187),B187,IF(AND(I51="ANO",DE63=1,BQ40=24),DB63,IF(AND(I51="ANO",DE63&lt;&gt;1,DE74=2,BQ40=24),DB74,IF(AND(I51="ANO",DE63&lt;&gt;1,DE74&lt;&gt;2,DE85=3,BQ40=24),DB85,IF(AND(I51="ANO",DE63&lt;&gt;1,DE74&lt;&gt;2,DE85&lt;&gt;3,DE96=4,BQ40=24),DB96,IF(AND(I51="ANO",DE63=1,BQ40=34),DB63,IF(AND(I51="ANO",DE63&lt;&gt;1,DE74=2,BQ40=34),DB74,IF(AND(I51="ANO",DE63&lt;&gt;1,DE74&lt;&gt;2,DE85=3,BQ40=34),DB85,IF(AND(I51="ANO",DE63&lt;&gt;1,DE74&lt;&gt;2,DE85&lt;&gt;3,DE96=4,BQ40=34),DB96,"")))))))))))))))))))))))</f>
        <v>#VALUE!</v>
      </c>
      <c r="AW234" s="54"/>
      <c r="AX234" s="54" t="b">
        <f>IF(AND(I51="ANO",CV40&gt;6,BQ40=22),DB66,IF(AND(I51="ANO",CV40&lt;7,CV42&gt;6,BQ40=22),DB77))</f>
        <v>0</v>
      </c>
      <c r="AY234" s="54" t="b">
        <f>IF(AND(I51="ANO",CV40&gt;6,BQ40=32),DB66,IF(AND(I51="ANO",CV40&lt;7,CV42&gt;6,BQ40=32),DB77))</f>
        <v>0</v>
      </c>
      <c r="AZ234" s="54" t="b">
        <f>IF(AND(I51="ANO",CV40&gt;6,BQ40=42),DB66,IF(AND(I51="ANO",CV40&lt;7,CV42&gt;6,BQ40=42),DB77))</f>
        <v>0</v>
      </c>
      <c r="BA234" s="54" t="b">
        <f>IF(AND(I51="ANO",CV40&gt;4,BQ40=33),DB64,IF(AND(I51="ANO",CV40&lt;5,CV42&gt;4,BQ40=33),DB75,IF(AND(I51="ANO",CV40&lt;5,CV42&lt;5,CV44&gt;4,BQ40=33),DB86)))</f>
        <v>0</v>
      </c>
      <c r="BB234" s="54" t="b">
        <f>IF(AND(I51="ANO",DE63=1,BQ40=24),DB63,IF(AND(I51="ANO",DE63&lt;&gt;1,DE74=2,BQ40=24),DB74,IF(AND(I51="ANO",DE63&lt;&gt;1,DE74&lt;&gt;2,DE85=3,BQ40=24),DB85,IF(AND(I51="ANO",DE63&lt;&gt;1,DE74&lt;&gt;2,DE85&lt;&gt;3,DE96=4,BQ40=24),DB96))))</f>
        <v>0</v>
      </c>
      <c r="BC234" s="54" t="b">
        <f>IF(AND(I51="ANO",DE63=1,BQ40=34),DB63,IF(AND(I51="ANO",DE63&lt;&gt;1,DE74=2,BQ40=34),DB74,IF(AND(I51="ANO",DE63&lt;&gt;1,DE74&lt;&gt;2,DE85=3,BQ40=34),DB85,IF(AND(I51="ANO",DE63&lt;&gt;1,DE74&lt;&gt;2,DE85&lt;&gt;3,DE96=4,BQ40=34),DB96))))</f>
        <v>0</v>
      </c>
      <c r="BD234" s="54" t="e">
        <f>IF(AND(I51="ANO",(CP159+CP160)=2,BQ40=44,F183&lt;F187),B183,IF(AND(I51="ANO",(CP159+CP160)=2,BQ40=44,F183&gt;F187),B187))</f>
        <v>#VALUE!</v>
      </c>
      <c r="BE234" s="54" t="e">
        <f>IF(AND(I51="ANO",(CP159+CP160)=2,BQ40=36,F183&lt;F187),B183,IF(AND(I51="ANO",(CP159+CP160)=2,BQ40=36,F183&gt;F187),B187))</f>
        <v>#VALUE!</v>
      </c>
      <c r="BF234" s="54" t="e">
        <f>IF(AND(I51="ANO",(CP159+CP160)=2,BQ40=28,F183&lt;F187),B183,IF(AND(I51="ANO",(CP159+CP160)=2,BQ40=28,F183&gt;F187),B187))</f>
        <v>#VALUE!</v>
      </c>
      <c r="BH234" s="54" t="str">
        <f t="shared" si="213"/>
        <v/>
      </c>
      <c r="BI234" s="179" t="s">
        <v>83</v>
      </c>
      <c r="BJ234" s="179" t="str">
        <f>IF(AND(I51="ANO",DE110=5,DB110&lt;&gt;AA230,DB110&lt;&gt;AA231,DB110&lt;&gt;AA232,DB110&lt;&gt;AA233,BQ40=36),DB110,IF(AND(I51="ANO",DE121=6,DB121&lt;&gt;AA230,DB121&lt;&gt;AA231,DB121&lt;&gt;AA232,DB121&lt;&gt;AA233,BQ40=36),DB121,IF(AND(I51="ANO",DE65=1,BQ40=28),DB65,IF(AND(I51="ANO",DE76=2,BQ40=28),DB76,IF(AND(I51="ANO",DE87=3,BQ40=28),DB87,IF(AND(I51="ANO",DE98=4,BQ40=28),DB98,IF(AND(I51="ANO",DE109=5,BQ40=28),DB109,IF(AND(I51="ANO",DE120=6,BQ40=28),DB120,IF(AND(I51="ANO",DE131=7,BQ40=28),DB131,IF(AND(I51="ANO",DE142=8,BQ40=28),DB142,""))))))))))</f>
        <v/>
      </c>
      <c r="BK234" s="54"/>
      <c r="BL234" s="54"/>
      <c r="BM234" s="54"/>
      <c r="BN234" s="54"/>
      <c r="BO234" s="54"/>
      <c r="BP234" s="54"/>
      <c r="BQ234" s="54"/>
      <c r="BR234" s="54"/>
      <c r="BS234" s="54" t="b">
        <f>IF(AND(I51="ANO",DE110=5,DB110&lt;&gt;AA230,DB110&lt;&gt;AA231,DB110&lt;&gt;AA232,DB110&lt;&gt;AA233,BQ40=36),DB110,IF(AND(I51="ANO",DE121=6,DB121&lt;&gt;AA230,DB121&lt;&gt;AA231,DB121&lt;&gt;AA232,DB121&lt;&gt;AA233,BQ40=36),DB121))</f>
        <v>0</v>
      </c>
      <c r="BT234" s="54" t="b">
        <f>IF(AND(I51="ANO",DE65=1,BQ40=28),DB65,IF(AND(I51="ANO",DE76=2,BQ40=28),DB76,IF(AND(I51="ANO",DE87=3,BQ40=28),DB87,IF(AND(I51="ANO",DE98=4,BQ40=28),DB98,IF(AND(I51="ANO",DE109=5,BQ40=28),DB109,IF(AND(I51="ANO",DE120=6,BQ40=28),DB120,IF(AND(I51="ANO",DE131=7,BQ40=28),DB131,IF(AND(I51="ANO",DE142=8,BQ40=28),DB142))))))))</f>
        <v>0</v>
      </c>
      <c r="CA234" s="9"/>
      <c r="CB234" s="9"/>
      <c r="CC234" s="9"/>
      <c r="CD234" s="9"/>
      <c r="CE234" s="8"/>
      <c r="CF234" s="10"/>
      <c r="CG234" s="10"/>
      <c r="CH234" s="10"/>
      <c r="CK234" s="9"/>
      <c r="CL234" s="9"/>
      <c r="CM234" s="9"/>
      <c r="CN234" s="9"/>
      <c r="CO234" s="8"/>
      <c r="CP234" s="1"/>
      <c r="CU234"/>
      <c r="CV234"/>
      <c r="CW234"/>
      <c r="CX234"/>
      <c r="DB234" s="11"/>
      <c r="DC234" s="11"/>
      <c r="DD234" s="11"/>
      <c r="DE234" s="11"/>
    </row>
    <row r="235" spans="2:109" ht="19.5" customHeight="1" x14ac:dyDescent="0.4">
      <c r="B235" s="1"/>
      <c r="D235"/>
      <c r="E235" s="181">
        <v>14</v>
      </c>
      <c r="F235" s="36" t="str">
        <f>IF(AND(I51="ANO",CV40&gt;13,BQ40=61),"5.",IF(AND(I51="ANO",(CV40+CV42)&gt;13,BQ40=22),"13.",IF(AND(I51="ANO",(CV40+CV42)&gt;13,BQ40=32),"13.",IF(AND(I51="ANO",(CV40+CV42)&gt;13,BQ40=42),"13.",IF(AND(I51="ANO",(CV40+CV42+CV44)&gt;13,BQ40=33),"13.",IF(AND(I51="ANO",(CV40+CV42+CV44+CV46)&gt;13,BQ40=24),"13.",IF(AND(I51="ANO",(CV40+CV42+CV44+CV46)&gt;13,BQ40=34),"9.",IF(AND(I51="ANO",(CV40+CV42+CV44+CV46)&gt;13,BQ40=44),"9.",IF(AND(I51="ANO",(CV40+CV42+CV44+CV46+CX40+CX42)&gt;13,BQ40=36),"9.",IF(AND(I51="ANO",(CV40+CV42+CV44+CV46+CX40+CX42+CX44+CX46)&gt;13,BQ40=28),"9.",IF(AND(I51="ANO",(CV40+CV42+CV44+CV46+CX40+CX42+CX44+CX46)&gt;13,BQ40=38),"9.",IF(AND(I51="ANO",(CV40+CV42+CV44+CV46+CX40+CX42+CX44+CX46)&gt;13,BQ40=48),"9.",""))))))))))))</f>
        <v/>
      </c>
      <c r="G235" s="457" t="str">
        <f t="shared" si="215"/>
        <v/>
      </c>
      <c r="H235" s="458"/>
      <c r="I235" s="458"/>
      <c r="J235" s="458"/>
      <c r="K235" s="459"/>
      <c r="L235" s="455" t="e">
        <f t="shared" si="210"/>
        <v>#N/A</v>
      </c>
      <c r="M235" s="460"/>
      <c r="N235" s="460"/>
      <c r="O235" s="456"/>
      <c r="P235" s="461" t="str">
        <f>IF(AND(I51="ANO",BL38=4,F235="9."),1,IF(AND(I51="ANO",BL38=4,F235="11."),1,IF(AND(I51="ANO",BL38=4,F235="13."),1,IF(AND(I51="ANO",BL38=4,F235="15."),1,IF(AND(I51="ANO",BL38=3,BQ40=34,F235="9."),15,IF(AND(I51="ANO",BL38=3,BQ40&lt;&gt;44,F235="9."),20,IF(AND(I51="ANO",BL38=3,BQ40=44,F235="9."),15,IF(AND(I51="ANO",BL38=3,F235="11."),10,IF(AND(I51="ANO",BL38=3,BQ40&lt;&gt;24,F235="13."),8,IF(AND(I51="ANO",BL38=3,BQ40=24,F235="13."),10,""))))))))))</f>
        <v/>
      </c>
      <c r="Q235" s="458"/>
      <c r="R235" s="459"/>
      <c r="S235" s="462"/>
      <c r="T235" s="463"/>
      <c r="U235" s="464"/>
      <c r="V235" s="132"/>
      <c r="W235" s="457" t="str">
        <f>IF(AND(I51="ANO",(CV40+CV42+CV44+CV46+CX40+CX42)&gt;41,BQ40=36),"41.",IF(AND(I51="ANO",(CV40+CV42+CV44+CV46+CX40+CX42+CX44+CX46)&gt;41,BQ40=28),"41.",IF(AND(I51="ANO",(CV40+CV42+CV44+CV46+CX40+CX42+CX44+CX46)&gt;41,BQ40=38),"41.",IF(AND(I51="ANO",(CV40+CV42+CV44+CV46+CX40+CX42+CX44+CX46)&gt;41,BQ40=48),"41.",""))))</f>
        <v/>
      </c>
      <c r="X235" s="458"/>
      <c r="Y235" s="458"/>
      <c r="Z235" s="459"/>
      <c r="AA235" s="457" t="str">
        <f t="shared" si="211"/>
        <v/>
      </c>
      <c r="AB235" s="458"/>
      <c r="AC235" s="458"/>
      <c r="AD235" s="458"/>
      <c r="AE235" s="458"/>
      <c r="AF235" s="458"/>
      <c r="AG235" s="458"/>
      <c r="AH235" s="458"/>
      <c r="AI235" s="458"/>
      <c r="AJ235" s="458"/>
      <c r="AK235" s="459"/>
      <c r="AL235" s="455" t="e">
        <f t="shared" si="212"/>
        <v>#N/A</v>
      </c>
      <c r="AM235" s="456"/>
      <c r="AN235" s="36" t="str">
        <f>IF(AND(I51="ANO",BL38=4,CP61&gt;41),0,IF(AND(I51="ANO",BL38=3,BQ40=36,W235="41."),6,IF(AND(I51="ANO",BL38=3,BQ40=28,W235="41."),6,"")))</f>
        <v/>
      </c>
      <c r="AO235" s="167"/>
      <c r="AP235" s="182">
        <v>42</v>
      </c>
      <c r="AQ235"/>
      <c r="AR235" s="6"/>
      <c r="AS235" s="6"/>
      <c r="AT235" s="110" t="str">
        <f t="shared" si="214"/>
        <v/>
      </c>
      <c r="AU235" s="178" t="s">
        <v>86</v>
      </c>
      <c r="AV235" s="179" t="e">
        <f>IF(AND(I51="ANO",(CV40+CV42)&gt;13,BQ40=22),DB77,IF(AND(I51="ANO",(CP161+CP162)=2,BQ40=28,F191&lt;F195),B191,IF(AND(I51="ANO",(CP161+CP162)=2,BQ40=28,F191&gt;F195),B195,IF(AND(I51="ANO",(CV40+CV42)&gt;13,BQ40=32),DB77,IF(AND(I51="ANO",(CV40+CV42)&gt;13,BQ40=42),DB77,IF(AND(I51="ANO",CV40&gt;4,CV42&gt;4,BQ40=33),DB75,IF(AND(I51="ANO",(CV40+CV42)&gt;8,CV44&gt;4,BQ40=33),DB86,IF(AND(I51="ANO",(CP161+CP162)=2,BQ40=44,F191&lt;F195),B191,IF(AND(I51="ANO",(CP161+CP162)=2,BQ40=44,F191&gt;F195),B195,IF(AND(I51="ANO",(CP161+CP162)=2,BQ40=36,F191&lt;F195),B191,IF(AND(I51="ANO",(CP161+CP162)=2,BQ40=36,F191&gt;F195),B195,IF(AND(I51="ANO",DF74=2,DB74&lt;&gt;G234,BQ40=24),DB74,IF(AND(I51="ANO",DF85=3,DB85&lt;&gt;G234,BQ40=24),DB85,IF(AND(I51="ANO",DF96=4,DB96&lt;&gt;G234,BQ40=24),DB96,IF(AND(I51="ANO",DF74=2,DB74&lt;&gt;G234,BQ40=34),DB74,IF(AND(I51="ANO",DF85=3,DB85&lt;&gt;G234,BQ40=34),DB85,IF(AND(I51="ANO",DF96=4,DB96&lt;&gt;G234,BQ40=34),DB96,"")))))))))))))))))</f>
        <v>#VALUE!</v>
      </c>
      <c r="AW235" s="54"/>
      <c r="AX235" s="54" t="b">
        <f>IF(AND(I51="ANO",(CV40+CV42)&gt;13,BQ40=22),DB77)</f>
        <v>0</v>
      </c>
      <c r="AY235" s="54" t="b">
        <f>IF(AND(I51="ANO",(CV40+CV42)&gt;13,BQ40=32),DB77)</f>
        <v>0</v>
      </c>
      <c r="AZ235" s="54" t="b">
        <f>IF(AND(I51="ANO",(CV40+CV42)&gt;13,BQ40=42),DB77)</f>
        <v>0</v>
      </c>
      <c r="BA235" s="54" t="b">
        <f>IF(AND(I51="ANO",CV40&gt;4,CV42&gt;4,BQ40=33),DB75,IF(AND(I51="ANO",(CV40+CV42)&gt;8,CV44&gt;4,BQ40=33),DB86))</f>
        <v>0</v>
      </c>
      <c r="BB235" s="54" t="b">
        <f>IF(AND(I51="ANO",DF74=2,DB74&lt;&gt;G234,BQ40=24),DB74,IF(AND(I51="ANO",DF85=3,DB85&lt;&gt;G234,BQ40=24),DB85,IF(AND(I51="ANO",DF96=4,DB96&lt;&gt;G234,BQ40=24),DB96)))</f>
        <v>0</v>
      </c>
      <c r="BC235" s="54" t="b">
        <f>IF(AND(I51="ANO",DF74=2,DB74&lt;&gt;G234,BQ40=34),DB74,IF(AND(I51="ANO",DF85=3,DB85&lt;&gt;G234,BQ40=34),DB85,IF(AND(I51="ANO",DF96=4,DB96&lt;&gt;G234,BQ40=34),DB96)))</f>
        <v>0</v>
      </c>
      <c r="BD235" s="54" t="e">
        <f>IF(AND(I51="ANO",(CP161+CP162)=2,BQ40=44,F191&lt;F195),B191,IF(AND(I51="ANO",(CP161+CP162)=2,BQ40=44,F191&gt;F195),B195))</f>
        <v>#VALUE!</v>
      </c>
      <c r="BE235" s="54" t="e">
        <f>IF(AND(I51="ANO",(CP161+CP162)=2,BQ40=36,F191&lt;F195),B191,IF(AND(I51="ANO",(CP161+CP162)=2,BQ40=36,F191&gt;F195),B195))</f>
        <v>#VALUE!</v>
      </c>
      <c r="BF235" s="54" t="e">
        <f>IF(AND(I51="ANO",(CP161+CP162)=2,BQ40=28,F191&lt;F195),B191,IF(AND(I51="ANO",(CP161+CP162)=2,BQ40=28,F191&gt;F195),B195))</f>
        <v>#VALUE!</v>
      </c>
      <c r="BH235" s="54" t="str">
        <f t="shared" si="213"/>
        <v/>
      </c>
      <c r="BI235" s="179" t="s">
        <v>87</v>
      </c>
      <c r="BJ235" s="179" t="str">
        <f>IF(AND(I51="ANO",DE121=6,DB121&lt;&gt;AA230,DB121&lt;&gt;AA231,DB121&lt;&gt;AA232,DB121&lt;&gt;AA233,DB121&lt;&gt;AA234,BQ40=36),DB121,IF(AND(I51="ANO",DE76=2,DB76&lt;&gt;AA234,BQ40=28),DB76,IF(AND(I51="ANO",DE87=3,DB87&lt;&gt;AA234,BQ40=28),DB87,IF(AND(I51="ANO",DE98=4,DB98&lt;&gt;AA234,BQ40=28),DB98,IF(AND(I51="ANO",DE109=5,DB109&lt;&gt;AA234,BQ40=28),DB109,IF(AND(I51="ANO",DE120=6,DB120&lt;&gt;AA234,BQ40=28),DB120,IF(AND(I51="ANO",DE131=7,DB131&lt;&gt;AA234,BQ40=28),DB131,IF(AND(I51="ANO",DE142=8,DB142&lt;&gt;AA234,BQ40=28),DB142,""))))))))</f>
        <v/>
      </c>
      <c r="BK235" s="54"/>
      <c r="BL235" s="54"/>
      <c r="BM235" s="54"/>
      <c r="BN235" s="54"/>
      <c r="BO235" s="54"/>
      <c r="BP235" s="54"/>
      <c r="BQ235" s="54"/>
      <c r="BR235" s="54"/>
      <c r="BS235" s="54" t="b">
        <f>IF(AND(I51="ANO",DE121=6,DB121&lt;&gt;AA230,DB121&lt;&gt;AA231,DB121&lt;&gt;AA232,DB121&lt;&gt;AA233,DB121&lt;&gt;AA234,BQ40=36),DB121)</f>
        <v>0</v>
      </c>
      <c r="BT235" s="54" t="b">
        <f>IF(AND(I51="ANO",DE76=2,DB76&lt;&gt;AA234,BQ40=28),DB76,IF(AND(I51="ANO",DE87=3,DB87&lt;&gt;AA234,BQ40=28),DB87,IF(AND(I51="ANO",DE98=4,DB98&lt;&gt;AA234,BQ40=28),DB98,IF(AND(I51="ANO",DE109=5,DB109&lt;&gt;AA234,BQ40=28),DB109,IF(AND(I51="ANO",DE120=6,DB120&lt;&gt;AA234,BQ40=28),DB120,IF(AND(I51="ANO",DE131=7,DB131&lt;&gt;AA234,BQ40=28),DB131,IF(AND(I51="ANO",DE142=8,DB142&lt;&gt;AA234,BQ40=28),DB142)))))))</f>
        <v>0</v>
      </c>
      <c r="CA235" s="9"/>
      <c r="CB235" s="9"/>
      <c r="CC235" s="9"/>
      <c r="CD235" s="9"/>
      <c r="CE235" s="8"/>
      <c r="CF235" s="10"/>
      <c r="CG235" s="10"/>
      <c r="CH235" s="10"/>
      <c r="CK235" s="9"/>
      <c r="CL235" s="9"/>
      <c r="CM235" s="9"/>
      <c r="CN235" s="9"/>
      <c r="CO235" s="8"/>
      <c r="CP235" s="1"/>
      <c r="CU235"/>
      <c r="CV235"/>
      <c r="CW235"/>
      <c r="CX235"/>
      <c r="DB235" s="11"/>
      <c r="DC235" s="11"/>
      <c r="DD235" s="11"/>
      <c r="DE235" s="11"/>
    </row>
    <row r="236" spans="2:109" ht="19.5" customHeight="1" x14ac:dyDescent="0.4">
      <c r="B236" s="1"/>
      <c r="D236"/>
      <c r="E236" s="181">
        <v>15</v>
      </c>
      <c r="F236" s="36" t="str">
        <f>IF(AND(I51="ANO",(CV40+CV42+CV44)&gt;14,BQ40=33),"13.",IF(AND(I51="ANO",(CV40+CV42+CV44+CV46)&gt;14,BQ40=24),"13.",IF(AND(I51="ANO",(CV40+CV42+CV44+CV46)&gt;14,BQ40=34),"9.",IF(AND(I51="ANO",(CV40+CV42+CV44+CV46)&gt;14,BQ40=44),"9.",IF(AND(I51="ANO",(CV40+CV42+CV44+CV46+CX40+CX42)&gt;14,BQ40=36),"9.",IF(AND(I51="ANO",(CV40+CV42+CV44+CV46+CX40+CX42+CX44+CX46)&gt;14,BQ40=28),"9.",IF(AND(I51="ANO",(CV40+CV42+CV44+CV46+CX40+CX42+CX44+CX46)&gt;14,BQ40=38),"9.",IF(AND(I51="ANO",(CV40+CV42+CV44+CV46+CX40+CX42+CX44+CX46)&gt;14,BQ40=48),"9.",""))))))))</f>
        <v/>
      </c>
      <c r="G236" s="457" t="str">
        <f t="shared" si="215"/>
        <v/>
      </c>
      <c r="H236" s="458"/>
      <c r="I236" s="458"/>
      <c r="J236" s="458"/>
      <c r="K236" s="459"/>
      <c r="L236" s="455" t="e">
        <f t="shared" si="210"/>
        <v>#N/A</v>
      </c>
      <c r="M236" s="460"/>
      <c r="N236" s="460"/>
      <c r="O236" s="456"/>
      <c r="P236" s="461" t="str">
        <f>IF(AND(I51="ANO",BL38=4,F236="9."),1,IF(AND(I51="ANO",BL38=4,F236="11."),1,IF(AND(I51="ANO",BL38=4,F236="13."),1,IF(AND(I51="ANO",BL38=4,F236="15."),1,IF(AND(I51="ANO",BL38=3,BQ40=34,F236="9."),15,IF(AND(I51="ANO",BL38=3,BQ40&lt;&gt;44,F236="9."),20,IF(AND(I51="ANO",BL38=3,BQ40=44,F236="9."),15,IF(AND(I51="ANO",BL38=3,F236="11."),10,IF(AND(I51="ANO",BL38=3,BQ40&lt;&gt;24,F236="13."),8,IF(AND(I51="ANO",BL38=3,BQ40=24,F236="13."),10,IF(AND(I51="ANO",BL38=3,F236="15."),5,"")))))))))))</f>
        <v/>
      </c>
      <c r="Q236" s="458"/>
      <c r="R236" s="459"/>
      <c r="S236" s="462"/>
      <c r="T236" s="463"/>
      <c r="U236" s="464"/>
      <c r="V236" s="132"/>
      <c r="W236" s="457" t="str">
        <f>IF(AND(I51="ANO",(CV40+CV42+CV44+CV46+CX40+CX42+CX44+CX46)&gt;42,BQ40=28),"41.",IF(AND(I51="ANO",(CV40+CV42+CV44+CV46+CX40+CX42+CX44+CX46)&gt;42,BQ40=38),"41.",IF(AND(I51="ANO",(CV40+CV42+CV44+CV46+CX40+CX42+CX44+CX46)&gt;42,BQ40=48),"41.","")))</f>
        <v/>
      </c>
      <c r="X236" s="458"/>
      <c r="Y236" s="458"/>
      <c r="Z236" s="459"/>
      <c r="AA236" s="457" t="str">
        <f t="shared" si="211"/>
        <v/>
      </c>
      <c r="AB236" s="458"/>
      <c r="AC236" s="458"/>
      <c r="AD236" s="458"/>
      <c r="AE236" s="458"/>
      <c r="AF236" s="458"/>
      <c r="AG236" s="458"/>
      <c r="AH236" s="458"/>
      <c r="AI236" s="458"/>
      <c r="AJ236" s="458"/>
      <c r="AK236" s="459"/>
      <c r="AL236" s="455" t="e">
        <f t="shared" si="212"/>
        <v>#N/A</v>
      </c>
      <c r="AM236" s="456"/>
      <c r="AN236" s="36" t="str">
        <f>IF(AND(I51="ANO",BL38=4,CP61&gt;42),0,IF(AND(I51="ANO",BL38=3,BQ40=36,W236="41."),6,IF(AND(I51="ANO",BL38=3,BQ40=28,W236="41."),6,"")))</f>
        <v/>
      </c>
      <c r="AO236" s="167"/>
      <c r="AP236" s="182">
        <v>43</v>
      </c>
      <c r="AQ236"/>
      <c r="AR236" s="6"/>
      <c r="AS236" s="6"/>
      <c r="AT236" s="110" t="str">
        <f t="shared" si="214"/>
        <v/>
      </c>
      <c r="AU236" s="178" t="s">
        <v>90</v>
      </c>
      <c r="AV236" s="179" t="e">
        <f>IF(AND(I51="ANO",(CP163+CP164)=2,BQ40=28,F199&lt;F203),B199,IF(AND(I51="ANO",(CP163+CP164)=2,BQ40=28,F199&gt;F203),B203,IF(AND(I51="ANO",(CV40+CV42)&gt;9,CV44&gt;4,BQ40=33),DB86,IF(AND(I51="ANO",(CP163+CP164)=2,BQ40=44,F199&lt;F203),B199,IF(AND(I51="ANO",(CP163+CP164)=2,BQ40=44,F199&gt;F203),B203,IF(AND(I51="ANO",(CP163+CP164)=2,BQ40=36,F199&lt;F203),B199,IF(AND(I51="ANO",(CP163+CP164)=2,BQ40=36,F199&gt;F203),B203,IF(AND(I51="ANO",DG85=3,DB85&lt;&gt;G234,DB85&lt;&gt;G235,BQ40=24),DB85,IF(AND(I51="ANO",DG96=4,DB96&lt;&gt;G234,DB96&lt;&gt;G235,BQ40=24),DB96,IF(AND(I51="ANO",DG85=3,DB85&lt;&gt;G234,DB85&lt;&gt;G235,BQ40=34),DB85,IF(AND(I51="ANO",DG96=4,DB96&lt;&gt;G234,DB96&lt;&gt;G235,BQ40=34),DB96,"")))))))))))</f>
        <v>#VALUE!</v>
      </c>
      <c r="AW236" s="54"/>
      <c r="AX236" s="54"/>
      <c r="AY236" s="54"/>
      <c r="AZ236" s="54"/>
      <c r="BA236" s="54" t="b">
        <f>IF(AND(I51="ANO",(CV40+CV42)&gt;9,CV44&gt;4,BQ40=33),DB86)</f>
        <v>0</v>
      </c>
      <c r="BB236" s="54" t="b">
        <f>IF(AND(I51="ANO",DG85=3,DB85&lt;&gt;G234,DB85&lt;&gt;G235,BQ40=24),DB85,IF(AND(I51="ANO",DG96=4,DB96&lt;&gt;G234,DB96&lt;&gt;G235,BQ40=24),DB96))</f>
        <v>0</v>
      </c>
      <c r="BC236" s="54" t="b">
        <f>IF(AND(I51="ANO",DG85=3,DB85&lt;&gt;G234,DB85&lt;&gt;G235,BQ40=34),DB85,IF(AND(I51="ANO",DG96=4,DB96&lt;&gt;G234,DB96&lt;&gt;G235,BQ40=34),DB96))</f>
        <v>0</v>
      </c>
      <c r="BD236" s="54" t="e">
        <f>IF(AND(I51="ANO",(CP163+CP164)=2,BQ40=44,F199&lt;F203),B199,IF(AND(I51="ANO",(CP163+CP164)=2,BQ40=44,F199&gt;F203),B203))</f>
        <v>#VALUE!</v>
      </c>
      <c r="BE236" s="54" t="e">
        <f>IF(AND(I51="ANO",(CP163+CP164)=2,BQ40=36,F199&lt;F203),B199,IF(AND(I51="ANO",(CP163+CP164)=2,BQ40=36,F199&gt;F203),B203))</f>
        <v>#VALUE!</v>
      </c>
      <c r="BF236" s="54" t="e">
        <f>IF(AND(I51="ANO",(CP163+CP164)=2,BQ40=28,F199&lt;F203),B199,IF(AND(I51="ANO",(CP163+CP164)=2,BQ40=28,F199&gt;F203),B203))</f>
        <v>#VALUE!</v>
      </c>
      <c r="BH236" s="54" t="str">
        <f t="shared" si="213"/>
        <v/>
      </c>
      <c r="BI236" s="179" t="s">
        <v>91</v>
      </c>
      <c r="BJ236" s="179" t="str">
        <f>IF(AND(I51="ANO",DE87=3,DB87&lt;&gt;AA234,DB87&lt;&gt;AA235,BQ40=28),DB87,IF(AND(I51="ANO",DE98=4,DB98&lt;&gt;AA234,DB98&lt;&gt;AA235,BQ40=28),DB98,IF(AND(I51="ANO",DE109=5,DB109&lt;&gt;AA234,DB109&lt;&gt;AA235,BQ40=28),DB109,IF(AND(I51="ANO",DE120=6,DB120&lt;&gt;AA234,DB120&lt;&gt;AA235,BQ40=28),DB120,IF(AND(I51="ANO",DE131=7,DB131&lt;&gt;AA234,DB131&lt;&gt;AA235,BQ40=28),DB131,IF(AND(I51="ANO",DE142=8,DB142&lt;&gt;AA234,DB142&lt;&gt;AA235,BQ40=28),DB142,""))))))</f>
        <v/>
      </c>
      <c r="BK236" s="54"/>
      <c r="BL236" s="54"/>
      <c r="BM236" s="54"/>
      <c r="BN236" s="54"/>
      <c r="BO236" s="54"/>
      <c r="BP236" s="54"/>
      <c r="BQ236" s="54"/>
      <c r="BR236" s="54"/>
      <c r="BS236" s="54"/>
      <c r="BT236" s="54" t="str">
        <f>IF(AND(I51="ANO",DE87=3,DB87&lt;&gt;AA234,DB87&lt;&gt;AA235,BQ40=28),DB87,IF(AND(I51="ANO",DE98=4,DB98&lt;&gt;AA234,DB98&lt;&gt;AA235,BQ40=28),DB98,IF(AND(I51="ANO",DE109=5,DB109&lt;&gt;AA234,DB109&lt;&gt;AA235,BQ40=28),DB109,IF(AND(I51="ANO",DE120=6,DB120&lt;&gt;AA234,DB120&lt;&gt;AA235,BQ40=28),DB120,IF(AND(I51="ANO",DE131=7,DB131&lt;&gt;AA234,DB131&lt;&gt;AA235,BQ40=28),DB131,IF(AND(I51="ANO",DE142=8,DB142&lt;&gt;AA234,DB142&lt;&gt;AA235,BQ40=28),DB142,""))))))</f>
        <v/>
      </c>
      <c r="CA236" s="9"/>
      <c r="CB236" s="9"/>
      <c r="CC236" s="9"/>
      <c r="CD236" s="9"/>
      <c r="CE236" s="8"/>
      <c r="CF236" s="10"/>
      <c r="CG236" s="10"/>
      <c r="CH236" s="10"/>
      <c r="CK236" s="9"/>
      <c r="CL236" s="9"/>
      <c r="CM236" s="9"/>
      <c r="CN236" s="9"/>
      <c r="CO236" s="8"/>
      <c r="CP236" s="1"/>
      <c r="CU236"/>
      <c r="CV236"/>
      <c r="CW236"/>
      <c r="CX236"/>
      <c r="DB236" s="11"/>
      <c r="DC236" s="11"/>
      <c r="DD236" s="11"/>
      <c r="DE236" s="11"/>
    </row>
    <row r="237" spans="2:109" ht="19.5" customHeight="1" x14ac:dyDescent="0.4">
      <c r="B237" s="1"/>
      <c r="E237" s="181">
        <v>16</v>
      </c>
      <c r="F237" s="36" t="str">
        <f>IF(AND(I51="ANO",(CV40+CV42+CV44)&gt;15,BQ40=33),"13.",IF(AND(I51="ANO",(CV40+CV42+CV44+CV46)&gt;15,BQ40=24),"13.",IF(AND(I51="ANO",(CV40+CV42+CV44+CV46)&gt;15,BQ40=34),"9.",IF(AND(I51="ANO",(CV40+CV42+CV44+CV46)&gt;15,BQ40=44),"9.",IF(AND(I51="ANO",(CV40+CV42+CV44+CV46+CX40+CX42)&gt;15,BQ40=36),"9.",IF(AND(I51="ANO",(CV40+CV42+CV44+CV46+CX40+CX42+CX44+CX46)&gt;15,BQ40=28),"9.",IF(AND(I51="ANO",(CV40+CV42+CV44+CV46+CX40+CX42+CX44+CX46)&gt;15,BQ40=38),"9.",IF(AND(I51="ANO",(CV40+CV42+CV44+CV46+CX40+CX42+CX44+CX46)&gt;15,BQ40=48),"9.",""))))))))</f>
        <v/>
      </c>
      <c r="G237" s="457" t="str">
        <f>IF(AT237=FALSE,"",IF(AT237=0,"",AT237))</f>
        <v/>
      </c>
      <c r="H237" s="458"/>
      <c r="I237" s="458"/>
      <c r="J237" s="458"/>
      <c r="K237" s="459"/>
      <c r="L237" s="455" t="e">
        <f t="shared" si="210"/>
        <v>#N/A</v>
      </c>
      <c r="M237" s="460"/>
      <c r="N237" s="460"/>
      <c r="O237" s="456"/>
      <c r="P237" s="461" t="str">
        <f>IF(AND(I51="ANO",BL38=4,F237="9."),1,IF(AND(I51="ANO",BL38=4,F237="11."),1,IF(AND(I51="ANO",BL38=4,F237="13."),1,IF(AND(I51="ANO",BL38=4,F237="15."),1,IF(AND(I51="ANO",BL38=3,BQ40=34,F237="9."),15,IF(AND(I51="ANO",BL38=3,BQ40&lt;&gt;44,F237="9."),20,IF(AND(I51="ANO",BL38=3,BQ40=44,F237="9."),15,IF(AND(I51="ANO",BL38=3,F237="11."),10,IF(AND(I51="ANO",BL38=3,BQ40&lt;&gt;24,F237="13."),8,IF(AND(I51="ANO",BL38=3,BQ40=24,F237="13."),10,IF(AND(I51="ANO",BL38=3,F237="15."),5,"")))))))))))</f>
        <v/>
      </c>
      <c r="Q237" s="458"/>
      <c r="R237" s="459"/>
      <c r="S237" s="462"/>
      <c r="T237" s="463"/>
      <c r="U237" s="464"/>
      <c r="V237" s="132"/>
      <c r="W237" s="457" t="str">
        <f>IF(AND(I51="ANO",(CV40+CV42+CV44+CV46+CX40+CX42+CX44+CX46)&gt;43,BQ40=28),"41.",IF(AND(I51="ANO",(CV40+CV42+CV44+CV46+CX40+CX42+CX44+CX46)&gt;43,BQ40=38),"41.",IF(AND(I51="ANO",(CV40+CV42+CV44+CV46+CX40+CX42+CX44+CX46)&gt;43,BQ40=48),"41.","")))</f>
        <v/>
      </c>
      <c r="X237" s="458"/>
      <c r="Y237" s="458"/>
      <c r="Z237" s="459"/>
      <c r="AA237" s="457" t="str">
        <f t="shared" si="211"/>
        <v/>
      </c>
      <c r="AB237" s="458"/>
      <c r="AC237" s="458"/>
      <c r="AD237" s="458"/>
      <c r="AE237" s="458"/>
      <c r="AF237" s="458"/>
      <c r="AG237" s="458"/>
      <c r="AH237" s="458"/>
      <c r="AI237" s="458"/>
      <c r="AJ237" s="458"/>
      <c r="AK237" s="459"/>
      <c r="AL237" s="455" t="e">
        <f t="shared" si="212"/>
        <v>#N/A</v>
      </c>
      <c r="AM237" s="456"/>
      <c r="AN237" s="36" t="str">
        <f>IF(AND(I51="ANO",BL38=4,CP61&gt;43),0,IF(AND(I51="ANO",BL38=3,BQ40=36,W237="41."),6,IF(AND(I51="ANO",BL38=3,BQ40=28,W237="41."),6,"")))</f>
        <v/>
      </c>
      <c r="AO237" s="167"/>
      <c r="AP237" s="182">
        <v>44</v>
      </c>
      <c r="AQ237"/>
      <c r="AR237" s="6"/>
      <c r="AS237" s="6"/>
      <c r="AT237" s="110" t="str">
        <f t="shared" si="214"/>
        <v/>
      </c>
      <c r="AU237" s="178" t="s">
        <v>93</v>
      </c>
      <c r="AV237" s="179" t="e">
        <f>IF(AND(I51="ANO",(CP165+CP166)=2,BQ40=28,F207&lt;F211),B207,IF(AND(I51="ANO",(CP165+CP166)=2,BQ40=28,F207&gt;F211),B211,IF(AND(I51="ANO",CV40&gt;5,BQ40=33),DB65,IF(AND(I51="ANO",CV40&lt;6,CV42&gt;5,BQ40=33),DB76,IF(AND(I51="ANO",CV40&lt;6,CV42&lt;6,CV44&gt;5,BQ40=33),DB87,IF(AND(I51="ANO",(CP165+CP166)=2,BQ40=44,F207&lt;F211),B207,IF(AND(I51="ANO",(CP165+CP166)=2,BQ40=44,F207&gt;F211),B211,IF(AND(I51="ANO",(CP165+CP166)=2,BQ40=36,F207&lt;F211),B207,IF(AND(I51="ANO",(CP165+CP166)=2,BQ40=36,F207&gt;F211),B211,IF(AND(I51="ANO",DG96=4,DB96&lt;&gt;G234,DB96&lt;&gt;G235,DB96&lt;&gt;G236,BQ40=24),DB96,IF(AND(I51="ANO",DG96=4,DB96&lt;&gt;G234,DB96&lt;&gt;G235,DB96&lt;&gt;G236,BQ40=34),DB96,"")))))))))))</f>
        <v>#VALUE!</v>
      </c>
      <c r="AW237" s="54"/>
      <c r="AX237" s="54"/>
      <c r="AY237" s="54"/>
      <c r="AZ237" s="54"/>
      <c r="BA237" s="54" t="b">
        <f>IF(AND(I51="ANO",CV40&gt;5,BQ40=33),DB65,IF(AND(I51="ANO",CV40&lt;6,CV42&gt;5,BQ40=33),DB76,IF(AND(I51="ANO",CV40&lt;6,CV42&lt;6,CV44&gt;5,BQ40=33),DB87)))</f>
        <v>0</v>
      </c>
      <c r="BB237" s="54" t="b">
        <f>IF(AND(I51="ANO",DG96=4,DB96&lt;&gt;G234,DB96&lt;&gt;G235,DB96&lt;&gt;G236,BQ40=24),DB96)</f>
        <v>0</v>
      </c>
      <c r="BC237" s="54" t="b">
        <f>IF(AND(I51="ANO",DG96=4,DB96&lt;&gt;G234,DB96&lt;&gt;G235,DB96&lt;&gt;G236,BQ40=34),DB96)</f>
        <v>0</v>
      </c>
      <c r="BD237" s="54" t="e">
        <f>IF(AND(I51="ANO",(CP165+CP166)=2,BQ40=44,F207&lt;F211),B207,IF(AND(I51="ANO",(CP165+CP166)=2,BQ40=44,F207&gt;F211),B211))</f>
        <v>#VALUE!</v>
      </c>
      <c r="BE237" s="54" t="e">
        <f>IF(AND(I51="ANO",(CP165+CP166)=2,BQ40=36,F207&lt;F211),B207,IF(AND(I51="ANO",(CP165+CP166)=2,BQ40=36,F207&gt;F211),B211))</f>
        <v>#VALUE!</v>
      </c>
      <c r="BF237" s="54" t="e">
        <f>IF(AND(I51="ANO",(CP165+CP166)=2,BQ40=28,F207&lt;F211),B207,IF(AND(I51="ANO",(CP165+CP166)=2,BQ40=28,F207&gt;F211),B211))</f>
        <v>#VALUE!</v>
      </c>
      <c r="BH237" s="54" t="str">
        <f t="shared" si="213"/>
        <v/>
      </c>
      <c r="BI237" s="179" t="s">
        <v>94</v>
      </c>
      <c r="BJ237" s="179" t="str">
        <f>IF(AND(I51="ANO",DE98=4,DB98&lt;&gt;AA234,DB98&lt;&gt;AA235,DB98&lt;&gt;AA236,BQ40=28),DB98,IF(AND(I51="ANO",DE109=5,DB109&lt;&gt;AA234,DB109&lt;&gt;AA235,DB109&lt;&gt;AA236,BQ40=28),DB109,IF(AND(I51="ANO",DE120=6,DB120&lt;&gt;AA234,DB120&lt;&gt;AA235,DB120&lt;&gt;AA236,BQ40=28),DB120,IF(AND(I51="ANO",DE131=7,DB131&lt;&gt;AA234,DB131&lt;&gt;AA235,DB131&lt;&gt;AA236,BQ40=28),DB131,IF(AND(I51="ANO",DE142=8,DB142&lt;&gt;AA234,DB142&lt;&gt;AA235,DB142&lt;&gt;AA236,BQ40=28),DB142,"")))))</f>
        <v/>
      </c>
      <c r="BK237" s="54"/>
      <c r="BL237" s="54"/>
      <c r="BM237" s="54"/>
      <c r="BN237" s="54"/>
      <c r="BO237" s="54"/>
      <c r="BP237" s="54"/>
      <c r="BQ237" s="54"/>
      <c r="BR237" s="54"/>
      <c r="BS237" s="54"/>
      <c r="BT237" s="54" t="str">
        <f>IF(AND(I51="ANO",DE98=4,DB98&lt;&gt;AA234,DB98&lt;&gt;AA235,DB98&lt;&gt;AA236,BQ40=28),DB98,IF(AND(I51="ANO",DE109=5,DB109&lt;&gt;AA234,DB109&lt;&gt;AA235,DB109&lt;&gt;AA236,BQ40=28),DB109,IF(AND(I51="ANO",DE120=6,DB120&lt;&gt;AA234,DB120&lt;&gt;AA235,DB120&lt;&gt;AA236,BQ40=28),DB120,IF(AND(I51="ANO",DE131=7,DB131&lt;&gt;AA234,DB131&lt;&gt;AA235,DB131&lt;&gt;AA236,BQ40=28),DB131,IF(AND(I51="ANO",DE142=8,DB142&lt;&gt;AA234,DB142&lt;&gt;AA235,DB142&lt;&gt;AA236,BQ40=28),DB142,"")))))</f>
        <v/>
      </c>
      <c r="CA237" s="9"/>
      <c r="CB237" s="9"/>
      <c r="CC237" s="9"/>
      <c r="CD237" s="9"/>
      <c r="CE237" s="8"/>
      <c r="CF237" s="10"/>
      <c r="CG237" s="10"/>
      <c r="CH237" s="10"/>
      <c r="CK237" s="9"/>
      <c r="CL237" s="9"/>
      <c r="CM237" s="9"/>
      <c r="CN237" s="9"/>
      <c r="CO237" s="8"/>
      <c r="CP237" s="1"/>
      <c r="CU237"/>
      <c r="CV237"/>
      <c r="CW237"/>
      <c r="CX237"/>
      <c r="DB237" s="11"/>
      <c r="DC237" s="11"/>
      <c r="DD237" s="11"/>
      <c r="DE237" s="11"/>
    </row>
    <row r="238" spans="2:109" ht="19.5" customHeight="1" x14ac:dyDescent="0.4">
      <c r="B238" s="1"/>
      <c r="D238"/>
      <c r="E238" s="181">
        <v>17</v>
      </c>
      <c r="F238" s="36" t="str">
        <f>IF(AND(I51="ANO",(CV40+CV42+CV44)&gt;16,BQ40=33),"17.",IF(AND(I51="ANO",(CV40+CV42+CV44+CV46)&gt;16,BQ40=24),"17.",IF(AND(I51="ANO",(CV40+CV42+CV44+CV46)&gt;16,BQ40=34),"17.",IF(AND(I51="ANO",(CV40+CV42+CV44+CV46)&gt;16,BQ40=44),"17.",IF(AND(I51="ANO",(CV40+CV42+CV44+CV46+CX40+CX42)&gt;16,BQ40=36),"17.",IF(AND(I51="ANO",(CV40+CV42+CV44+CV46+CX40+CX42+CX44+CX46)&gt;16,BQ40=28),"17.",IF(AND(I51="ANO",(CV40+CV42+CV44+CV46+CX40+CX42+CX44+CX46)&gt;16,BQ40=38),"17.",IF(AND(I51="ANO",(CV40+CV42+CV44+CV46+CX40+CX42+CX44+CX46)&gt;16,BQ40=48),"17.",""))))))))</f>
        <v/>
      </c>
      <c r="G238" s="457" t="str">
        <f t="shared" si="215"/>
        <v/>
      </c>
      <c r="H238" s="458"/>
      <c r="I238" s="458"/>
      <c r="J238" s="458"/>
      <c r="K238" s="459"/>
      <c r="L238" s="455" t="e">
        <f t="shared" si="210"/>
        <v>#N/A</v>
      </c>
      <c r="M238" s="460"/>
      <c r="N238" s="460"/>
      <c r="O238" s="456"/>
      <c r="P238" s="461" t="str">
        <f>IF(AND(I51="ANO",BL38=4,CP61&gt;16),0,IF(AND(I51="ANO",BL38=3,BQ40=33,F238="17."),8,IF(AND(I51="ANO",BL38=3,BQ40=24,F238="17."),8,IF(AND(I51="ANO",BL38=3,BQ40=34,F238="17."),8,IF(AND(I51="ANO",BL38=3,BQ40=44,F238="17."),8,IF(AND(I51="ANO",BL38=3,BQ40=36,F238="17."),15,IF(AND(I51="ANO",BL38=3,BQ40=28,F238="17."),15,"")))))))</f>
        <v/>
      </c>
      <c r="Q238" s="458"/>
      <c r="R238" s="459"/>
      <c r="S238" s="462"/>
      <c r="T238" s="463"/>
      <c r="U238" s="464"/>
      <c r="V238" s="132"/>
      <c r="W238" s="457" t="str">
        <f>IF(AND(I51="ANO",(CV40+CV42+CV44+CV46+CX40+CX42+CX44+CX46)&gt;44,BQ40=28),"41.",IF(AND(I51="ANO",(CV40+CV42+CV44+CV46+CX40+CX42+CX44+CX46)&gt;44,BQ40=38),"41.",IF(AND(I51="ANO",(CV40+CV42+CV44+CV46+CX40+CX42+CX44+CX46)&gt;44,BQ40=48),"41.","")))</f>
        <v/>
      </c>
      <c r="X238" s="458"/>
      <c r="Y238" s="458"/>
      <c r="Z238" s="459"/>
      <c r="AA238" s="457" t="str">
        <f t="shared" si="211"/>
        <v/>
      </c>
      <c r="AB238" s="458"/>
      <c r="AC238" s="458"/>
      <c r="AD238" s="458"/>
      <c r="AE238" s="458"/>
      <c r="AF238" s="458"/>
      <c r="AG238" s="458"/>
      <c r="AH238" s="458"/>
      <c r="AI238" s="458"/>
      <c r="AJ238" s="458"/>
      <c r="AK238" s="459"/>
      <c r="AL238" s="455" t="e">
        <f t="shared" si="212"/>
        <v>#N/A</v>
      </c>
      <c r="AM238" s="456"/>
      <c r="AN238" s="36" t="str">
        <f>IF(AND(I51="ANO",BL38=4,CP61&gt;44),0,IF(AND(I51="ANO",BL38=3,BQ40=36,W238="41."),6,IF(AND(I51="ANO",BL38=3,BQ40=28,W238="41."),6,"")))</f>
        <v/>
      </c>
      <c r="AO238" s="167"/>
      <c r="AP238" s="182">
        <v>45</v>
      </c>
      <c r="AQ238"/>
      <c r="AR238" s="6"/>
      <c r="AS238" s="6"/>
      <c r="AT238" s="110" t="str">
        <f t="shared" si="214"/>
        <v/>
      </c>
      <c r="AU238" s="178" t="s">
        <v>96</v>
      </c>
      <c r="AV238" s="179" t="str">
        <f>IF(AND(I51="ANO",DE62=1,BQ40=28),DB62,IF(AND(I51="ANO",CV40&gt;5,CV42&gt;5,BQ40=33),DB76,IF(AND(I51="ANO",(CV40+CV42)&gt;10,CV44&gt;5,BQ40=33),DB87,IF(AND(I51="ANO",DE64=1,BQ40=24),DB64,IF(AND(I51="ANO",DE64&lt;&gt;1,DE75=2,BQ40=24),DB75,IF(AND(I51="ANO",DE64&lt;&gt;1,DE75&lt;&gt;2,DE86=3,BQ40=24),DB86,IF(AND(I51="ANO",DE64&lt;&gt;1,DE75&lt;&gt;2,DE86&lt;&gt;3,DE97=4,BQ40=24),DB97,IF(AND(I51="ANO",DE64=1,BQ40=34),DB64,IF(AND(I51="ANO",DE64&lt;&gt;1,DE75=2,BQ40=34),DB75,IF(AND(I51="ANO",DE64&lt;&gt;1,DE75&lt;&gt;2,DE86=3,BQ40=34),DB86,IF(AND(I51="ANO",DE64&lt;&gt;1,DE75&lt;&gt;2,DE86&lt;&gt;3,DE97=4,BQ40=34),DB97,IF(AND(I51="ANO",DE64=1,BQ40=44),DB64,IF(AND(I51="ANO",DE64&lt;&gt;1,DE75=2,BQ40=44),DB75,IF(AND(I51="ANO",DE64&lt;&gt;1,DE75&lt;&gt;2,DE86=3,BQ40=44),DB86,IF(AND(I51="ANO",DE64&lt;&gt;1,DE75&lt;&gt;2,DE86&lt;&gt;3,DE97=4,BQ40=44),DB97,IF(AND(I51="ANO",BQ40=36,DD150&gt;0),"3. z baráže  A, B, C",IF(AND(I51="ANO",BQ40=36,DD150=0),DB153,"")))))))))))))))))</f>
        <v/>
      </c>
      <c r="AW238" s="54"/>
      <c r="AX238" s="54"/>
      <c r="AY238" s="54"/>
      <c r="AZ238" s="54"/>
      <c r="BA238" s="54" t="b">
        <f>IF(AND(I51="ANO",CV40&gt;5,CV42&gt;5,BQ40=33),DB76,IF(AND(I51="ANO",(CV40+CV42)&gt;10,CV44&gt;5,BQ40=33),DB87))</f>
        <v>0</v>
      </c>
      <c r="BB238" s="54" t="b">
        <f>IF(AND(I51="ANO",DE64=1,BQ40=24),DB64,IF(AND(I51="ANO",DE64&lt;&gt;1,DE75=2,BQ40=24),DB75,IF(AND(I51="ANO",DE64&lt;&gt;1,DE75&lt;&gt;2,DE86=3,BQ40=24),DB86,IF(AND(I51="ANO",DE64&lt;&gt;1,DE75&lt;&gt;2,DE86&lt;&gt;3,DE97=4,BQ40=24),DB97))))</f>
        <v>0</v>
      </c>
      <c r="BC238" s="54" t="b">
        <f>IF(AND(I51="ANO",DE64=1,BQ40=34),DB64,IF(AND(I51="ANO",DE64&lt;&gt;1,DE75=2,BQ40=34),DB75,IF(AND(I51="ANO",DE64&lt;&gt;1,DE75&lt;&gt;2,DE86=3,BQ40=34),DB86,IF(AND(I51="ANO",DE64&lt;&gt;1,DE75&lt;&gt;2,DE86&lt;&gt;3,DE97=4,BQ40=34),DB97))))</f>
        <v>0</v>
      </c>
      <c r="BD238" s="54" t="b">
        <f>IF(AND(I51="ANO",DE64=1,BQ40=44),DB64,IF(AND(I51="ANO",DE64&lt;&gt;1,DE75=2,BQ40=44),DB75,IF(AND(I51="ANO",DE64&lt;&gt;1,DE75&lt;&gt;2,DE86=3,BQ40=44),DB86,IF(AND(I51="ANO",DE64&lt;&gt;1,DE75&lt;&gt;2,DE86&lt;&gt;3,DE97=4,BQ40=44),DB97))))</f>
        <v>0</v>
      </c>
      <c r="BE238" s="54" t="b">
        <f>IF(AND(I51="ANO",BQ40=36,DD150&gt;0),"3. z baráže  A, B, C",IF(AND(I51="ANO",BQ40=36,DD150=0),DB153))</f>
        <v>0</v>
      </c>
      <c r="BF238" s="54" t="b">
        <f>IF(AND(I51="ANO",DE62=1,BQ40=28),DB62)</f>
        <v>0</v>
      </c>
      <c r="BH238" s="54" t="str">
        <f t="shared" si="213"/>
        <v/>
      </c>
      <c r="BI238" s="179" t="s">
        <v>97</v>
      </c>
      <c r="BJ238" s="179" t="str">
        <f>IF(AND(I51="ANO",DE109=5,DB109&lt;&gt;AA234,DB109&lt;&gt;AA235,DB109&lt;&gt;AA236,DB109&lt;&gt;AA237,BQ40=28),DB109,IF(AND(I51="ANO",DE120=6,DB120&lt;&gt;AA234,DB120&lt;&gt;AA235,DB120&lt;&gt;AA236,DB120&lt;&gt;AA237,BQ40=28),DB120,IF(AND(I51="ANO",DE131=7,DB131&lt;&gt;AA234,DB131&lt;&gt;AA235,DB131&lt;&gt;AA236,DB131&lt;&gt;AA237,BQ40=28),DB131,IF(AND(I51="ANO",DE142=8,DB142&lt;&gt;AA234,DB142&lt;&gt;AA235,DB142&lt;&gt;AA236,DB142&lt;&gt;AA237,BQ40=28),DB142,""))))</f>
        <v/>
      </c>
      <c r="BK238" s="54"/>
      <c r="BL238" s="54"/>
      <c r="BM238" s="54"/>
      <c r="BN238" s="54"/>
      <c r="BO238" s="54"/>
      <c r="BP238" s="54"/>
      <c r="BQ238" s="54"/>
      <c r="BR238" s="54"/>
      <c r="BS238" s="54"/>
      <c r="BT238" s="54" t="str">
        <f>IF(AND(I51="ANO",DE109=5,DB109&lt;&gt;AA234,DB109&lt;&gt;AA235,DB109&lt;&gt;AA236,DB109&lt;&gt;AA237,BQ40=28),DB109,IF(AND(I51="ANO",DE120=6,DB120&lt;&gt;AA234,DB120&lt;&gt;AA235,DB120&lt;&gt;AA236,DB120&lt;&gt;AA237,BQ40=28),DB120,IF(AND(I51="ANO",DE131=7,DB131&lt;&gt;AA234,DB131&lt;&gt;AA235,DB131&lt;&gt;AA236,DB131&lt;&gt;AA237,BQ40=28),DB131,IF(AND(I51="ANO",DE142=8,DB142&lt;&gt;AA234,DB142&lt;&gt;AA235,DB142&lt;&gt;AA236,DB142&lt;&gt;AA237,BQ40=28),DB142,""))))</f>
        <v/>
      </c>
      <c r="CA238" s="9"/>
      <c r="CB238" s="9"/>
      <c r="CC238" s="9"/>
      <c r="CD238" s="9"/>
      <c r="CE238" s="8"/>
      <c r="CF238" s="10"/>
      <c r="CG238" s="10"/>
      <c r="CH238" s="10"/>
      <c r="CK238" s="9"/>
      <c r="CL238" s="9"/>
      <c r="CM238" s="9"/>
      <c r="CN238" s="9"/>
      <c r="CO238" s="8"/>
      <c r="CP238" s="1"/>
      <c r="CU238"/>
      <c r="CV238"/>
      <c r="CW238"/>
      <c r="CX238"/>
      <c r="DB238" s="11"/>
      <c r="DC238" s="11"/>
      <c r="DD238" s="11"/>
      <c r="DE238" s="11"/>
    </row>
    <row r="239" spans="2:109" ht="19.5" customHeight="1" x14ac:dyDescent="0.4">
      <c r="D239"/>
      <c r="E239" s="181">
        <v>18</v>
      </c>
      <c r="F239" s="36" t="str">
        <f>IF(AND(I51="ANO",(CV40+CV42+CV44)&gt;17,BQ40=33),"17.",IF(AND(I51="ANO",(CV40+CV42+CV44+CV46)&gt;17,BQ40=24),"17.",IF(AND(I51="ANO",(CV40+CV42+CV44+CV46)&gt;17,BQ40=34),"17.",IF(AND(I51="ANO",(CV40+CV42+CV44+CV46)&gt;17,BQ40=44),"17.",IF(AND(I51="ANO",(CV40+CV42+CV44+CV46+CX40+CX42)&gt;17,BQ40=36),"17.",IF(AND(I51="ANO",(CV40+CV42+CV44+CV46+CX40+CX42+CX44+CX46)&gt;17,BQ40=28),"17.",IF(AND(I51="ANO",(CV40+CV42+CV44+CV46+CX40+CX42+CX44+CX46)&gt;17,BQ40=38),"17.",IF(AND(I51="ANO",(CV40+CV42+CV44+CV46+CX40+CX42+CX44+CX46)&gt;17,BQ40=48),"17.",""))))))))</f>
        <v/>
      </c>
      <c r="G239" s="457" t="str">
        <f t="shared" si="215"/>
        <v/>
      </c>
      <c r="H239" s="458"/>
      <c r="I239" s="458"/>
      <c r="J239" s="458"/>
      <c r="K239" s="459"/>
      <c r="L239" s="455" t="e">
        <f t="shared" si="210"/>
        <v>#N/A</v>
      </c>
      <c r="M239" s="460"/>
      <c r="N239" s="460"/>
      <c r="O239" s="456"/>
      <c r="P239" s="461" t="str">
        <f>IF(AND(I51="ANO",BL38=4,CP61&gt;17),0,IF(AND(I51="ANO",BL38=3,BQ40=33,F239="17."),8,IF(AND(I51="ANO",BL38=3,BQ40=24,F239="17."),8,IF(AND(I51="ANO",BL38=3,BQ40=34,F239="17."),8,IF(AND(I51="ANO",BL38=3,BQ40=44,F239="17."),8,IF(AND(I51="ANO",BL38=3,BQ40=36,F239="17."),15,IF(AND(I51="ANO",BL38=3,BQ40=28,F239="17."),15,"")))))))</f>
        <v/>
      </c>
      <c r="Q239" s="458"/>
      <c r="R239" s="459"/>
      <c r="S239" s="462"/>
      <c r="T239" s="463"/>
      <c r="U239" s="464"/>
      <c r="V239" s="132"/>
      <c r="W239" s="457" t="str">
        <f>IF(AND(I51="ANO",(CV40+CV42+CV44+CV46+CX40+CX42+CX44+CX46)&gt;45,BQ40=28),"41.",IF(AND(I51="ANO",(CV40+CV42+CV44+CV46+CX40+CX42+CX44+CX46)&gt;45,BQ40=38),"41.",IF(AND(I51="ANO",(CV40+CV42+CV44+CV46+CX40+CX42+CX44+CX46)&gt;45,BQ40=48),"41.","")))</f>
        <v/>
      </c>
      <c r="X239" s="458"/>
      <c r="Y239" s="458"/>
      <c r="Z239" s="459"/>
      <c r="AA239" s="457" t="str">
        <f t="shared" si="211"/>
        <v/>
      </c>
      <c r="AB239" s="458"/>
      <c r="AC239" s="458"/>
      <c r="AD239" s="458"/>
      <c r="AE239" s="458"/>
      <c r="AF239" s="458"/>
      <c r="AG239" s="458"/>
      <c r="AH239" s="458"/>
      <c r="AI239" s="458"/>
      <c r="AJ239" s="458"/>
      <c r="AK239" s="459"/>
      <c r="AL239" s="455" t="e">
        <f t="shared" si="212"/>
        <v>#N/A</v>
      </c>
      <c r="AM239" s="456"/>
      <c r="AN239" s="36" t="str">
        <f>IF(AND(I51="ANO",BL38=4,CP61&gt;45),0,IF(AND(I51="ANO",BL38=3,BQ40=36,W239="41."),6,IF(AND(I51="ANO",BL38=3,BQ40=28,W239="41."),6,"")))</f>
        <v/>
      </c>
      <c r="AO239" s="167"/>
      <c r="AP239" s="182">
        <v>46</v>
      </c>
      <c r="AQ239"/>
      <c r="AR239" s="6"/>
      <c r="AS239" s="6"/>
      <c r="AT239" s="110" t="str">
        <f t="shared" si="214"/>
        <v/>
      </c>
      <c r="AU239" s="178" t="s">
        <v>102</v>
      </c>
      <c r="AV239" s="179" t="str">
        <f>IF(AND(I51="ANO",DE73=2,BQ40=28),DB73,IF(AND(I51="ANO",(CV40+CV42)&gt;11,CV44&gt;5,BQ40=33),DB87,IF(AND(I51="ANO",DF75=2,DB75&lt;&gt;G238,BQ40=24),DB75,IF(AND(I51="ANO",DF86=3,DB86&lt;&gt;G238,BQ40=24),DB86,IF(AND(I51="ANO",DF97=4,DB97&lt;&gt;G238,BQ40=24),DB97,IF(AND(I51="ANO",DF75=2,DB75&lt;&gt;G238,BQ40=34),DB75,IF(AND(I51="ANO",DF86=3,DB86&lt;&gt;G238,BQ40=34),DB86,IF(AND(I51="ANO",DF97=4,DB97&lt;&gt;G238,BQ40=34),DB97,IF(AND(I51="ANO",DF75=2,DB75&lt;&gt;G238,BQ40=44),DB75,IF(AND(I51="ANO",DF86=3,DB86&lt;&gt;G238,BQ40=44),DB86,IF(AND(I51="ANO",DF97=4,DB97&lt;&gt;G238,BQ40=44),DB97,IF(AND(I51="ANO",DD150&gt;0,BQ40=36),"3. z baráže  D, E, F",IF(AND(I51="ANO",DD150=0,BQ40=36),DB158,"")))))))))))))</f>
        <v/>
      </c>
      <c r="AW239" s="54"/>
      <c r="AX239" s="54"/>
      <c r="AY239" s="54"/>
      <c r="AZ239" s="54"/>
      <c r="BA239" s="54" t="b">
        <f>IF(AND(I51="ANO",(CV40+CV42)&gt;11,CV44&gt;5,BQ40=33),DB87)</f>
        <v>0</v>
      </c>
      <c r="BB239" s="54" t="b">
        <f>IF(AND(I51="ANO",DF75=2,DB75&lt;&gt;G238,BQ40=24),DB75,IF(AND(I51="ANO",DF86=3,DB86&lt;&gt;G238,BQ40=24),DB86,IF(AND(I51="ANO",DF97=4,DB97&lt;&gt;G238,BQ40=24),DB97)))</f>
        <v>0</v>
      </c>
      <c r="BC239" s="54" t="b">
        <f>IF(AND(I51="ANO",DF75=2,DB75&lt;&gt;G238,BQ40=34),DB75,IF(AND(I51="ANO",DF86=3,DB86&lt;&gt;G238,BQ40=34),DB86,IF(AND(I51="ANO",DF97=4,DB97&lt;&gt;G238,BQ40=34),DB97)))</f>
        <v>0</v>
      </c>
      <c r="BD239" s="54" t="b">
        <f>IF(AND(I51="ANO",DF75=2,DB75&lt;&gt;G238,BQ40=44),DB75,IF(AND(I51="ANO",DF86=3,DB86&lt;&gt;G238,BQ40=44),DB86,IF(AND(I51="ANO",DF97=4,DB97&lt;&gt;G238,BQ40=44),DB97)))</f>
        <v>0</v>
      </c>
      <c r="BE239" s="54" t="b">
        <f>IF(AND(I51="ANO",DD150&gt;0,BQ40=36),"3. z baráže  D, E, F",IF(AND(I51="ANO",DD150=0,BQ40=36),DB158))</f>
        <v>0</v>
      </c>
      <c r="BF239" s="54" t="b">
        <f>IF(AND(I51="ANO",DE73=2,BQ40=28),DB73)</f>
        <v>0</v>
      </c>
      <c r="BH239" s="54" t="str">
        <f t="shared" si="213"/>
        <v/>
      </c>
      <c r="BI239" s="179" t="s">
        <v>103</v>
      </c>
      <c r="BJ239" s="179" t="str">
        <f>IF(AND(I51="ANO",DE120=6,DB120&lt;&gt;AA234,DB120&lt;&gt;AA235,DB120&lt;&gt;AA236,DB120&lt;&gt;AA237,DB120&lt;&gt;AA238,BQ40=28),DB120,IF(AND(I51="ANO",DE131=7,DB131&lt;&gt;AA234,DB131&lt;&gt;AA235,DB131&lt;&gt;AA236,DB131&lt;&gt;AA237,DB131&lt;&gt;AA238,BQ40=28),DB131,IF(AND(I51="ANO",DE142=8,DB142&lt;&gt;AA234,DB142&lt;&gt;AA235,DB142&lt;&gt;AA236,DB142&lt;&gt;AA237,DB142&lt;&gt;AA238,BQ40=28),DB142,"")))</f>
        <v/>
      </c>
      <c r="BK239" s="54"/>
      <c r="BL239" s="54"/>
      <c r="BM239" s="54"/>
      <c r="BN239" s="54"/>
      <c r="BO239" s="54"/>
      <c r="BP239" s="54"/>
      <c r="BQ239" s="54"/>
      <c r="BR239" s="54"/>
      <c r="BS239" s="54"/>
      <c r="BT239" s="54" t="str">
        <f>IF(AND(I51="ANO",DE120=6,DB120&lt;&gt;AA234,DB120&lt;&gt;AA235,DB120&lt;&gt;AA236,DB120&lt;&gt;AA237,DB120&lt;&gt;AA238,BQ40=28),DB120,IF(AND(I51="ANO",DE131=7,DB131&lt;&gt;AA234,DB131&lt;&gt;AA235,DB131&lt;&gt;AA236,DB131&lt;&gt;AA237,DB131&lt;&gt;AA238,BQ40=28),DB131,IF(AND(I51="ANO",DE142=8,DB142&lt;&gt;AA234,DB142&lt;&gt;AA235,DB142&lt;&gt;AA236,DB142&lt;&gt;AA237,DB142&lt;&gt;AA238,BQ40=28),DB142,"")))</f>
        <v/>
      </c>
      <c r="CA239" s="9"/>
      <c r="CB239" s="9"/>
      <c r="CC239" s="9"/>
      <c r="CD239" s="9"/>
      <c r="CE239" s="8"/>
      <c r="CF239" s="10"/>
      <c r="CG239" s="10"/>
      <c r="CH239" s="10"/>
      <c r="CK239" s="9"/>
      <c r="CL239" s="9"/>
      <c r="CM239" s="9"/>
      <c r="CN239" s="9"/>
      <c r="CO239" s="8"/>
      <c r="CP239" s="1"/>
      <c r="CU239"/>
      <c r="CV239"/>
      <c r="CW239"/>
      <c r="CX239"/>
      <c r="DB239" s="11"/>
      <c r="DC239" s="11"/>
      <c r="DD239" s="11"/>
      <c r="DE239" s="11"/>
    </row>
    <row r="240" spans="2:109" ht="19.5" customHeight="1" x14ac:dyDescent="0.4">
      <c r="B240" s="1"/>
      <c r="E240" s="181">
        <v>19</v>
      </c>
      <c r="F240" s="36" t="str">
        <f>IF(AND(I51="ANO",(CV40+CV42+CV44)&gt;18,BQ40=33),"17.",IF(AND(I51="ANO",(CV40+CV42+CV44+CV46)&gt;18,BQ40=24),"17.",IF(AND(I51="ANO",(CV40+CV42+CV44+CV46)&gt;18,BQ40=34),"17.",IF(AND(I51="ANO",(CV40+CV42+CV44+CV46)&gt;18,BQ40=44),"17.",IF(AND(I51="ANO",(CV40+CV42+CV44+CV46+CX40+CX42)&gt;18,BQ40=36),"17.",IF(AND(I51="ANO",(CV40+CV42+CV44+CV46+CX40+CX42+CX44+CX46)&gt;18,BQ40=28),"17.",IF(AND(I51="ANO",(CV40+CV42+CV44+CV46+CX40+CX42+CX44+CX46)&gt;18,BQ40=38),"17.",IF(AND(I51="ANO",(CV40+CV42+CV44+CV46+CX40+CX42+CX44+CX46)&gt;18,BQ40=48),"17.",""))))))))</f>
        <v/>
      </c>
      <c r="G240" s="457" t="str">
        <f t="shared" si="215"/>
        <v/>
      </c>
      <c r="H240" s="458"/>
      <c r="I240" s="458"/>
      <c r="J240" s="458"/>
      <c r="K240" s="459"/>
      <c r="L240" s="455" t="e">
        <f t="shared" si="210"/>
        <v>#N/A</v>
      </c>
      <c r="M240" s="460"/>
      <c r="N240" s="460"/>
      <c r="O240" s="456"/>
      <c r="P240" s="461" t="str">
        <f>IF(AND(I51="ANO",BL38=4,CP61&gt;18),0,IF(AND(I51="ANO",BL38=3,BQ40=33,F240="17."),8,IF(AND(I51="ANO",BL38=3,BQ40=24,F240="17."),8,IF(AND(I51="ANO",BL38=3,BQ40=34,F240="17."),8,IF(AND(I51="ANO",BL38=3,BQ40=44,F240="17."),8,IF(AND(I51="ANO",BL38=3,BQ40=36,F240="17."),15,IF(AND(I51="ANO",BL38=3,BQ40=28,F240="17."),15,"")))))))</f>
        <v/>
      </c>
      <c r="Q240" s="458"/>
      <c r="R240" s="459"/>
      <c r="S240" s="462"/>
      <c r="T240" s="463"/>
      <c r="U240" s="464"/>
      <c r="V240" s="132"/>
      <c r="W240" s="457" t="str">
        <f>IF(AND(I51="ANO",(CV40+CV42+CV44+CV46+CX40+CX42+CX44+CX46)&gt;46,BQ40=28),"41.",IF(AND(I51="ANO",(CV40+CV42+CV44+CV46+CX40+CX42+CX44+CX46)&gt;46,BQ40=38),"41.",IF(AND(I51="ANO",(CV40+CV42+CV44+CV46+CX40+CX42+CX44+CX46)&gt;46,BQ40=48),"41.","")))</f>
        <v/>
      </c>
      <c r="X240" s="458"/>
      <c r="Y240" s="458"/>
      <c r="Z240" s="459"/>
      <c r="AA240" s="457" t="str">
        <f t="shared" si="211"/>
        <v/>
      </c>
      <c r="AB240" s="458"/>
      <c r="AC240" s="458"/>
      <c r="AD240" s="458"/>
      <c r="AE240" s="458"/>
      <c r="AF240" s="458"/>
      <c r="AG240" s="458"/>
      <c r="AH240" s="458"/>
      <c r="AI240" s="458"/>
      <c r="AJ240" s="458"/>
      <c r="AK240" s="459"/>
      <c r="AL240" s="455" t="e">
        <f t="shared" si="212"/>
        <v>#N/A</v>
      </c>
      <c r="AM240" s="456"/>
      <c r="AN240" s="36" t="str">
        <f>IF(AND(I51="ANO",BL38=4,CP61&gt;46),0,IF(AND(I51="ANO",BL38=3,BQ40=36,W240="41."),6,IF(AND(I51="ANO",BL38=3,BQ40=28,W240="41."),6,"")))</f>
        <v/>
      </c>
      <c r="AO240" s="167"/>
      <c r="AP240" s="182">
        <v>47</v>
      </c>
      <c r="AQ240"/>
      <c r="AR240" s="6"/>
      <c r="AS240" s="6"/>
      <c r="AT240" s="110" t="str">
        <f t="shared" si="214"/>
        <v/>
      </c>
      <c r="AU240" s="178" t="s">
        <v>106</v>
      </c>
      <c r="AV240" s="179" t="str">
        <f>IF(AND(I51="ANO",DE84=3,BQ40=28),DB84,IF(AND(I51="ANO",CV40&gt;6,BQ40=33),DB66,IF(AND(I51="ANO",CV40&lt;7,CV42&gt;6,BQ40=33),DB77,IF(AND(I51="ANO",CV40&lt;7,CV42&lt;7,CV44&gt;6,BQ40=33),DB88,IF(AND(I51="ANO",DG86=3,DB86&lt;&gt;G238,DB86&lt;&gt;G239,BQ40=24),DB86,IF(AND(I51="ANO",DG97=4,DB97&lt;&gt;G238,DB97&lt;&gt;G239,BQ40=24),DB97,IF(AND(I51="ANO",DG86=3,DB86&lt;&gt;G238,DB86&lt;&gt;G239,BQ40=34),DB86,IF(AND(I51="ANO",DG97=4,DB97&lt;&gt;G238,DB97&lt;&gt;G239,BQ40=34),DB97,IF(AND(I51="ANO",DG86=3,DB86&lt;&gt;G238,DB86&lt;&gt;G239,BQ40=44),DB86,IF(AND(I51="ANO",DG97=4,DB97&lt;&gt;G238,DB97&lt;&gt;G239,BQ40=44),DB97,IF(AND(I51="ANO",DE63=1,BQ40=36),DB63,IF(AND(I51="ANO",DE74=2,BQ40=36),DB74,IF(AND(I51="ANO",DE85=3,BQ40=36),DB85,IF(AND(I51="ANO",DE96=4,BQ40=36),DB96,IF(AND(I51="ANO",DE107=5,BQ40=36),DB107,IF(AND(I51="ANO",DE118=6,BQ40=36),DB118,""))))))))))))))))</f>
        <v/>
      </c>
      <c r="AW240" s="54"/>
      <c r="AX240" s="54"/>
      <c r="AY240" s="54"/>
      <c r="AZ240" s="54"/>
      <c r="BA240" s="54" t="b">
        <f>IF(AND(I51="ANO",CV40&gt;6,BQ40=33),DB66,IF(AND(I51="ANO",CV40&lt;7,CV42&gt;6,BQ40=33),DB77,IF(AND(I51="ANO",CV40&lt;7,CV42&lt;7,CV44&gt;6,BQ40=33),DB88)))</f>
        <v>0</v>
      </c>
      <c r="BB240" s="54" t="b">
        <f>IF(AND(I51="ANO",DG86=3,DB86&lt;&gt;G238,DB86&lt;&gt;G239,BQ40=24),DB86,IF(AND(I51="ANO",DG97=4,DB97&lt;&gt;G238,DB97&lt;&gt;G239,BQ40=24),DB97))</f>
        <v>0</v>
      </c>
      <c r="BC240" s="54" t="b">
        <f>IF(AND(I51="ANO",DG86=3,DB86&lt;&gt;G238,DB86&lt;&gt;G239,BQ40=34),DB86,IF(AND(I51="ANO",DG97=4,DB97&lt;&gt;G238,DB97&lt;&gt;G239,BQ40=34),DB97))</f>
        <v>0</v>
      </c>
      <c r="BD240" s="54" t="b">
        <f>IF(AND(I51="ANO",DG86=3,DB86&lt;&gt;G238,DB86&lt;&gt;G239,BQ40=44),DB86,IF(AND(I51="ANO",DG97=4,DB97&lt;&gt;G238,DB97&lt;&gt;G239,BQ40=44),DB97))</f>
        <v>0</v>
      </c>
      <c r="BE240" s="54" t="b">
        <f>IF(AND(I51="ANO",DE63=1,BQ40=36),DB63,IF(AND(I51="ANO",DE74=2,BQ40=36),DB74,IF(AND(I51="ANO",DE85=3,BQ40=36),DB85,IF(AND(I51="ANO",DE96=4,BQ40=36),DB96,IF(AND(I51="ANO",DE107=5,BQ40=36),DB107,IF(AND(I51="ANO",DE118=6,BQ40=36),DB118))))))</f>
        <v>0</v>
      </c>
      <c r="BF240" s="54" t="b">
        <f>IF(AND(I51="ANO",DE84=3,BQ40=28),DB84)</f>
        <v>0</v>
      </c>
      <c r="BH240" s="54" t="str">
        <f t="shared" si="213"/>
        <v/>
      </c>
      <c r="BI240" s="179" t="s">
        <v>107</v>
      </c>
      <c r="BJ240" s="179" t="str">
        <f>IF(AND(I51="ANO",DE131=7,DB131&lt;&gt;AA234,DB131&lt;&gt;AA235,DB131&lt;&gt;AA236,DB131&lt;&gt;AA237,DB131&lt;&gt;AA238,DB131&lt;&gt;AA239,BQ40=28),DB131,IF(AND(I51="ANO",DE142=8,DB142&lt;&gt;AA234,DB142&lt;&gt;AA235,DB142&lt;&gt;AA236,DB142&lt;&gt;AA237,DB142&lt;&gt;AA238,DB142&lt;&gt;AA239,BQ40=28),DB142,""))</f>
        <v/>
      </c>
      <c r="BK240" s="54"/>
      <c r="BL240" s="54"/>
      <c r="BM240" s="54"/>
      <c r="BN240" s="54"/>
      <c r="BO240" s="54"/>
      <c r="BP240" s="54"/>
      <c r="BQ240" s="54"/>
      <c r="BR240" s="54"/>
      <c r="BS240" s="54"/>
      <c r="BT240" s="54" t="str">
        <f>IF(AND(I51="ANO",DE131=7,DB131&lt;&gt;AA234,DB131&lt;&gt;AA235,DB131&lt;&gt;AA236,DB131&lt;&gt;AA237,DB131&lt;&gt;AA238,DB131&lt;&gt;AA239,BQ40=28),DB131,IF(AND(I51="ANO",DE142=8,DB142&lt;&gt;AA234,DB142&lt;&gt;AA235,DB142&lt;&gt;AA236,DB142&lt;&gt;AA237,DB142&lt;&gt;AA238,DB142&lt;&gt;AA239,BQ40=28),DB142,""))</f>
        <v/>
      </c>
      <c r="CA240" s="9"/>
      <c r="CB240" s="9"/>
      <c r="CC240" s="9"/>
      <c r="CD240" s="9"/>
      <c r="CE240" s="8"/>
      <c r="CF240" s="10"/>
      <c r="CG240" s="10"/>
      <c r="CH240" s="10"/>
      <c r="CK240" s="9"/>
      <c r="CL240" s="9"/>
      <c r="CM240" s="9"/>
      <c r="CN240" s="9"/>
      <c r="CO240" s="8"/>
      <c r="CP240" s="1"/>
      <c r="CU240"/>
      <c r="CV240"/>
      <c r="CW240"/>
      <c r="CX240"/>
      <c r="DB240" s="11"/>
      <c r="DC240" s="11"/>
      <c r="DD240" s="11"/>
      <c r="DE240" s="11"/>
    </row>
    <row r="241" spans="2:109" ht="19.5" customHeight="1" x14ac:dyDescent="0.4">
      <c r="B241" s="1"/>
      <c r="E241" s="181">
        <v>20</v>
      </c>
      <c r="F241" s="36" t="str">
        <f>IF(AND(I51="ANO",(CV40+CV42+CV44)&gt;19,BQ40=33),"17.",IF(AND(I51="ANO",(CV40+CV42+CV44+CV46)&gt;19,BQ40=24),"17.",IF(AND(I51="ANO",(CV40+CV42+CV44+CV46)&gt;19,BQ40=34),"17.",IF(AND(I51="ANO",(CV40+CV42+CV44+CV46)&gt;19,BQ40=44),"17.",IF(AND(I51="ANO",(CV40+CV42+CV44+CV46+CX40+CX42)&gt;19,BQ40=36),"17.",IF(AND(I51="ANO",(CV40+CV42+CV44+CV46+CX40+CX42+CX44+CX46)&gt;19,BQ40=28),"17.",IF(AND(I51="ANO",(CV40+CV42+CV44+CV46+CX40+CX42+CX44+CX46)&gt;19,BQ40=38),"17.",IF(AND(I51="ANO",(CV40+CV42+CV44+CV46+CX40+CX42+CX44+CX46)&gt;19,BQ40=48),"17.",""))))))))</f>
        <v/>
      </c>
      <c r="G241" s="457" t="str">
        <f t="shared" si="215"/>
        <v/>
      </c>
      <c r="H241" s="458"/>
      <c r="I241" s="458"/>
      <c r="J241" s="458"/>
      <c r="K241" s="459"/>
      <c r="L241" s="455" t="e">
        <f t="shared" si="210"/>
        <v>#N/A</v>
      </c>
      <c r="M241" s="460"/>
      <c r="N241" s="460"/>
      <c r="O241" s="456"/>
      <c r="P241" s="461" t="str">
        <f>IF(AND(I51="ANO",BL38=4,CP61&gt;19),0,IF(AND(I51="ANO",BL38=3,BQ40=33,F241="17."),8,IF(AND(I51="ANO",BL38=3,BQ40=24,F241="17."),8,IF(AND(I51="ANO",BL38=3,BQ40=34,F241="17."),8,IF(AND(I51="ANO",BL38=3,BQ40=44,F241="17."),8,IF(AND(I51="ANO",BL38=3,BQ40=36,F241="17."),15,IF(AND(I51="ANO",BL38=3,BQ40=28,F241="17."),15,"")))))))</f>
        <v/>
      </c>
      <c r="Q241" s="458"/>
      <c r="R241" s="459"/>
      <c r="S241" s="462"/>
      <c r="T241" s="463"/>
      <c r="U241" s="464"/>
      <c r="V241" s="132"/>
      <c r="W241" s="457" t="str">
        <f>IF(AND(I51="ANO",(CV40+CV42+CV44+CV46+CX40+CX42+CX44+CX46)&gt;47,BQ40=28),"41.",IF(AND(I51="ANO",(CV40+CV42+CV44+CV46+CX40+CX42+CX44+CX46)&gt;47,BQ40=38),"41.",IF(AND(I51="ANO",(CV40+CV42+CV44+CV46+CX40+CX42+CX44+CX46)&gt;47,BQ40=48),"41.","")))</f>
        <v/>
      </c>
      <c r="X241" s="458"/>
      <c r="Y241" s="458"/>
      <c r="Z241" s="459"/>
      <c r="AA241" s="457" t="str">
        <f>IF(AND(I51="ANO",DE142=8,DB142&lt;&gt;AA234,DB142&lt;&gt;AA235,DB142&lt;&gt;AA236,DB142&lt;&gt;AA237,DB142&lt;&gt;AA238,DB142&lt;&gt;AA239,DB142&lt;&gt;AA240,BQ40=28),DB142,"")</f>
        <v/>
      </c>
      <c r="AB241" s="458"/>
      <c r="AC241" s="458"/>
      <c r="AD241" s="458"/>
      <c r="AE241" s="458"/>
      <c r="AF241" s="458"/>
      <c r="AG241" s="458"/>
      <c r="AH241" s="458"/>
      <c r="AI241" s="458"/>
      <c r="AJ241" s="458"/>
      <c r="AK241" s="459"/>
      <c r="AL241" s="455" t="e">
        <f t="shared" si="212"/>
        <v>#N/A</v>
      </c>
      <c r="AM241" s="456"/>
      <c r="AN241" s="36" t="str">
        <f>IF(AND(I51="ANO",BL38=4,CP61&gt;47),0,IF(AND(I51="ANO",BL38=3,BQ40=36,W241="41."),6,IF(AND(I51="ANO",BL38=3,BQ40=28,W241="41."),6,"")))</f>
        <v/>
      </c>
      <c r="AO241" s="167"/>
      <c r="AP241" s="182">
        <v>48</v>
      </c>
      <c r="AQ241" s="121"/>
      <c r="AR241" s="6"/>
      <c r="AS241" s="6"/>
      <c r="AT241" s="110" t="str">
        <f t="shared" si="214"/>
        <v/>
      </c>
      <c r="AU241" s="178" t="s">
        <v>110</v>
      </c>
      <c r="AV241" s="179" t="str">
        <f>IF(AND(I51="ANO",DE95=4,BQ40=28),DB95,IF(AND(I51="ANO",CV40&gt;6,CV42&gt;6,BQ40=33),DB77,IF(AND(I51="ANO",(CV40+CV42)&gt;12,CV44&gt;6,BQ40=33),DB88,IF(AND(I51="ANO",DH97=4,DB97&lt;&gt;G238,DB97&lt;&gt;G239,DB97&lt;&gt;G240,BQ40=24),DB97,IF(AND(I51="ANO",DH97=4,DB97&lt;&gt;G238,DB97&lt;&gt;G239,DB97&lt;&gt;G240,BQ40=34),DB97,IF(AND(I51="ANO",DH97=4,DB97&lt;&gt;G238,DB97&lt;&gt;G239,DB97&lt;&gt;G240,BQ40=44),DB97,IF(AND(I51="ANO",DE74=2,DB74&lt;&gt;G240,BQ40=36),DB74,IF(AND(I51="ANO",DE85=3,DB85&lt;&gt;G240,BQ40=36),DB85,IF(AND(I51="ANO",DE96=4,DB96&lt;&gt;G240,BQ40=36),DB96,IF(AND(I51="ANO",DE107=5,DB107&lt;&gt;G240,BQ40=36),DB107,IF(AND(I51="ANO",DE118=6,DB118&lt;&gt;G240,BQ40=36),DB118,"")))))))))))</f>
        <v/>
      </c>
      <c r="AW241" s="54"/>
      <c r="AX241" s="54"/>
      <c r="AY241" s="54"/>
      <c r="AZ241" s="54"/>
      <c r="BA241" s="54" t="b">
        <f>IF(AND(I51="ANO",CV40&gt;6,CV42&gt;6,BQ40=33),DB77,IF(AND(I51="ANO",(CV40+CV42)&gt;12,CV44&gt;6,BQ40=33),DB88))</f>
        <v>0</v>
      </c>
      <c r="BB241" s="54" t="b">
        <f>IF(AND(I51="ANO",DH97=4,DB97&lt;&gt;G238,DB97&lt;&gt;G239,DB97&lt;&gt;G240,BQ40=24),DB97)</f>
        <v>0</v>
      </c>
      <c r="BC241" s="54" t="b">
        <f>IF(AND(I51="ANO",DH97=4,DB97&lt;&gt;G238,DB97&lt;&gt;G239,DB97&lt;&gt;G240,BQ40=34),DB97)</f>
        <v>0</v>
      </c>
      <c r="BD241" s="54" t="b">
        <f>IF(AND(I51="ANO",DH97=4,DB97&lt;&gt;G238,DB97&lt;&gt;G239,DB97&lt;&gt;G240,BQ40=44),DB97)</f>
        <v>0</v>
      </c>
      <c r="BE241" s="54" t="b">
        <f>IF(AND(I51="ANO",DE74=2,DB74&lt;&gt;G240,BQ40=36),DB74,IF(AND(I51="ANO",DE85=3,DB85&lt;&gt;G240,BQ40=36),DB85,IF(AND(I51="ANO",DE96=4,DB96&lt;&gt;G240,BQ40=36),DB96,IF(AND(I51="ANO",DE107=5,DB107&lt;&gt;G240,BQ40=36),DB107,IF(AND(I51="ANO",DE118=6,DB118&lt;&gt;G240,BQ40=36),DB118)))))</f>
        <v>0</v>
      </c>
      <c r="BF241" s="54" t="b">
        <f>IF(AND(I51="ANO",DE95=4,BQ40=28),DB95)</f>
        <v>0</v>
      </c>
      <c r="BH241" s="54" t="str">
        <f t="shared" si="213"/>
        <v/>
      </c>
      <c r="BI241" s="179" t="s">
        <v>111</v>
      </c>
      <c r="BJ241" s="179" t="str">
        <f>IF(AND(I51="ANO",DE142=8,DB142&lt;&gt;AA234,DB142&lt;&gt;AA235,DB142&lt;&gt;AA236,DB142&lt;&gt;AA237,DB142&lt;&gt;AA238,DB142&lt;&gt;AA239,DB142&lt;&gt;AA240,BQ40=28),DB142,"")</f>
        <v/>
      </c>
      <c r="BK241" s="54"/>
      <c r="BL241" s="54"/>
      <c r="BM241" s="54"/>
      <c r="BN241" s="54"/>
      <c r="BO241" s="54"/>
      <c r="BP241" s="54"/>
      <c r="BQ241" s="54"/>
      <c r="BR241" s="54"/>
      <c r="BS241" s="54"/>
      <c r="BT241" s="54" t="str">
        <f>IF(AND(I51="ANO",DE142=8,DB142&lt;&gt;AA234,DB142&lt;&gt;AA235,DB142&lt;&gt;AA236,DB142&lt;&gt;AA237,DB142&lt;&gt;AA238,DB142&lt;&gt;AA239,DB142&lt;&gt;AA240,BQ40=28),DB142,"")</f>
        <v/>
      </c>
      <c r="CA241" s="9"/>
      <c r="CB241" s="9"/>
      <c r="CC241" s="9"/>
      <c r="CD241" s="9"/>
      <c r="CE241" s="8"/>
      <c r="CF241" s="10"/>
      <c r="CG241" s="10"/>
      <c r="CH241" s="10"/>
      <c r="CK241" s="9"/>
      <c r="CL241" s="9"/>
      <c r="CM241" s="9"/>
      <c r="CN241" s="9"/>
      <c r="CO241" s="8"/>
      <c r="CP241" s="1"/>
      <c r="CU241"/>
      <c r="CV241"/>
      <c r="CW241"/>
      <c r="CX241"/>
      <c r="DB241" s="11"/>
      <c r="DC241" s="11"/>
      <c r="DD241" s="11"/>
      <c r="DE241" s="11"/>
    </row>
    <row r="242" spans="2:109" ht="19.5" customHeight="1" x14ac:dyDescent="0.4">
      <c r="B242" s="1"/>
      <c r="E242" s="181">
        <v>21</v>
      </c>
      <c r="F242" s="36" t="str">
        <f>IF(AND(I51="ANO",(CV40+CV42+CV44)&gt;20,BQ40=33),"21.",IF(AND(I51="ANO",(CV40+CV42+CV44+CV46)&gt;20,BQ40=24),"21.",IF(AND(I51="ANO",(CV40+CV42+CV44+CV46)&gt;20,BQ40=34),"21.",IF(AND(I51="ANO",(CV40+CV42+CV44+CV46)&gt;20,BQ40=44),"21.",IF(AND(I51="ANO",(CV40+CV42+CV44+CV46+CX40+CX42)&gt;20,BQ40=36),"17.",IF(AND(I51="ANO",(CV40+CV42+CV44+CV46+CX40+CX42+CX44+CX46)&gt;20,BQ40=28),"17.",IF(AND(I51="ANO",(CV40+CV42+CV44+CV46+CX40+CX42+CX44+CX46)&gt;20,BQ40=38),"17.",IF(AND(I51="ANO",(CV40+CV42+CV44+CV46+CX40+CX42+CX44+CX46)&gt;20,BQ40=48),"17.",""))))))))</f>
        <v/>
      </c>
      <c r="G242" s="457" t="str">
        <f t="shared" si="215"/>
        <v/>
      </c>
      <c r="H242" s="458"/>
      <c r="I242" s="458"/>
      <c r="J242" s="458"/>
      <c r="K242" s="459"/>
      <c r="L242" s="455" t="e">
        <f t="shared" si="210"/>
        <v>#N/A</v>
      </c>
      <c r="M242" s="460"/>
      <c r="N242" s="460"/>
      <c r="O242" s="456"/>
      <c r="P242" s="461" t="str">
        <f>IF(AND(I51="ANO",BL38=4,CP61&gt;20),0,IF(AND(I51="ANO",BL38=3,F242="17."),15,IF(AND(I51="ANO",BL38=3,F242="21."),4,"")))</f>
        <v/>
      </c>
      <c r="Q242" s="458"/>
      <c r="R242" s="459"/>
      <c r="S242" s="462"/>
      <c r="T242" s="463"/>
      <c r="U242" s="464"/>
      <c r="V242" s="132"/>
      <c r="W242" s="457" t="str">
        <f>IF(AND(I51="ANO",(CV40+CV42+CV44+CV46+CX40+CX42+CX44+CX46)&gt;48,BQ40=28),"49.",IF(AND(I51="ANO",(CV40+CV42+CV44+CV46+CX40+CX42+CX44+CX46)&gt;50,BQ40=38),"49.",IF(AND(I51="ANO",(CV40+CV42+CV44+CV46+CX40+CX42+CX44+CX46)&gt;50,BQ40=48),"49.","")))</f>
        <v/>
      </c>
      <c r="X242" s="458"/>
      <c r="Y242" s="458"/>
      <c r="Z242" s="459"/>
      <c r="AA242" s="457" t="str">
        <f>IF(AND(I51="ANO",DE66=1,BQ40=28),DB66,IF(AND(I51="ANO",DE77=2,BQ40=28),DB77,IF(AND(I51="ANO",DE88=3,BQ40=28),DB88,IF(AND(I51="ANO",DE99=4,BQ40=28),DB99,IF(AND(I51="ANO",DE110=5,BQ40=28),DB110,IF(AND(I51="ANO",DE121=6,BQ40=28),DB121,IF(AND(I51="ANO",DE132=7,BQ40=28),DB132,IF(AND(I51="ANO",DE143=8,BQ40=28),DB143,""))))))))</f>
        <v/>
      </c>
      <c r="AB242" s="458"/>
      <c r="AC242" s="458"/>
      <c r="AD242" s="458"/>
      <c r="AE242" s="458"/>
      <c r="AF242" s="458"/>
      <c r="AG242" s="458"/>
      <c r="AH242" s="458"/>
      <c r="AI242" s="458"/>
      <c r="AJ242" s="458"/>
      <c r="AK242" s="459"/>
      <c r="AL242" s="455" t="e">
        <f t="shared" si="212"/>
        <v>#N/A</v>
      </c>
      <c r="AM242" s="456"/>
      <c r="AN242" s="36" t="str">
        <f>IF(AND(I51="ANO",BL38=4,CP61&gt;48),0,IF(AND(I51="ANO",BL38=3,BQ40=36,W242="49."),4,IF(AND(I51="ANO",BL38=3,BQ40=28,W242="49."),4,"")))</f>
        <v/>
      </c>
      <c r="AO242" s="167"/>
      <c r="AP242" s="182">
        <v>49</v>
      </c>
      <c r="AQ242"/>
      <c r="AR242" s="6"/>
      <c r="AS242" s="6"/>
      <c r="AT242" s="110" t="str">
        <f t="shared" si="214"/>
        <v/>
      </c>
      <c r="AU242" s="178" t="s">
        <v>113</v>
      </c>
      <c r="AV242" s="179" t="str">
        <f>IF(AND(I51="ANO",DE106=5,BQ40=28),DB106,IF(AND(I51="ANO",(CV40+CV42)&gt;13,CV44&gt;6,BQ40=33),DB88,IF(AND(I51="ANO",DE65=1,BQ40=24),DB65,IF(AND(I51="ANO",DE65&lt;&gt;1,DE76=2,BQ40=24),DB76,IF(AND(I51="ANO",DE65&lt;&gt;1,DE76&lt;&gt;2,DE87=3,BQ40=24),DB87,IF(AND(I51="ANO",DE65&lt;&gt;1,DE76&lt;&gt;2,DE87&lt;&gt;3,DE98=4,BQ40=24),DB98,IF(AND(I51="ANO",DE65=1,BQ40=34),DB65,IF(AND(I51="ANO",DE65&lt;&gt;1,DE76=2,BQ40=34),DB76,IF(AND(I51="ANO",DE65&lt;&gt;1,DE76&lt;&gt;2,DE87=3,BQ40=34),DB87,IF(AND(I51="ANO",DE65&lt;&gt;1,DE76&lt;&gt;2,DE87&lt;&gt;3,DE98=4,BQ40=34),DB98,IF(AND(I51="ANO",DE65=1,BQ40=44),DB65,IF(AND(I51="ANO",DE65&lt;&gt;1,DE76=2,BQ40=44),DB76,IF(AND(I51="ANO",DE65&lt;&gt;1,DE76&lt;&gt;2,DE87=3,BQ40=44),DB87,IF(AND(I51="ANO",DE65&lt;&gt;1,DE76&lt;&gt;2,DE87&lt;&gt;3,DE98=4,BQ40=44),DB98,IF(AND(I51="ANO",DE85=3,DB85&lt;&gt;G240,DB85&lt;&gt;G241,BQ40=36),DB85,IF(AND(I51="ANO",DE96=4,DB96&lt;&gt;G240,DB96&lt;&gt;G241,BQ40=36),DB96,IF(AND(I51="ANO",DE107=5,DB107&lt;&gt;G240,DB107&lt;&gt;G241,BQ40=36),DB107,IF(AND(I51="ANO",DE118=6,DB118&lt;&gt;G240,DB118&lt;&gt;G241,BQ40=36),DB118,""))))))))))))))))))</f>
        <v/>
      </c>
      <c r="AW242" s="54"/>
      <c r="AX242" s="54"/>
      <c r="AY242" s="54"/>
      <c r="AZ242" s="54"/>
      <c r="BA242" s="54" t="b">
        <f>IF(AND(I51="ANO",(CV40+CV42)&gt;13,CV44&gt;6,BQ40=33),DB88)</f>
        <v>0</v>
      </c>
      <c r="BB242" s="54" t="b">
        <f>IF(AND(I51="ANO",DE65=1,BQ40=24),DB65,IF(AND(I51="ANO",DE65&lt;&gt;1,DE76=2,BQ40=24),DB76,IF(AND(I51="ANO",DE65&lt;&gt;1,DE76&lt;&gt;2,DE87=3,BQ40=24),DB87,IF(AND(I51="ANO",DE65&lt;&gt;1,DE76&lt;&gt;2,DE87&lt;&gt;3,DE98=4,BQ40=24),DB98))))</f>
        <v>0</v>
      </c>
      <c r="BC242" s="54" t="b">
        <f>IF(AND(I51="ANO",DE65=1,BQ40=34),DB65,IF(AND(I51="ANO",DE65&lt;&gt;1,DE76=2,BQ40=34),DB76,IF(AND(I51="ANO",DE65&lt;&gt;1,DE76&lt;&gt;2,DE87=3,BQ40=34),DB87,IF(AND(I51="ANO",DE65&lt;&gt;1,DE76&lt;&gt;2,DE87&lt;&gt;3,DE98=4,BQ40=34),DB98))))</f>
        <v>0</v>
      </c>
      <c r="BD242" s="54" t="b">
        <f>IF(AND(I51="ANO",DE65=1,BQ40=44),DB65,IF(AND(I51="ANO",DE65&lt;&gt;1,DE76=2,BQ40=44),DB76,IF(AND(I51="ANO",DE65&lt;&gt;1,DE76&lt;&gt;2,DE87=3,BQ40=44),DB87,IF(AND(I51="ANO",DE65&lt;&gt;1,DE76&lt;&gt;2,DE87&lt;&gt;3,DE98=4,BQ40=44),DB98))))</f>
        <v>0</v>
      </c>
      <c r="BE242" s="54" t="b">
        <f>IF(AND(I51="ANO",DE85=3,DB85&lt;&gt;G240,DB85&lt;&gt;G241,BQ40=36),DB85,IF(AND(I51="ANO",DE96=4,DB96&lt;&gt;G240,DB96&lt;&gt;G241,BQ40=36),DB96,IF(AND(I51="ANO",DE107=5,DB107&lt;&gt;G240,DB107&lt;&gt;G241,BQ40=36),DB107,IF(AND(I51="ANO",DE118=6,DB118&lt;&gt;G240,DB118&lt;&gt;G241,BQ40=36),DB118))))</f>
        <v>0</v>
      </c>
      <c r="BF242" s="54" t="b">
        <f>IF(AND(I51="ANO",DE106=5,BQ40=28),DB106)</f>
        <v>0</v>
      </c>
      <c r="BH242" s="54" t="str">
        <f t="shared" si="213"/>
        <v/>
      </c>
      <c r="BI242" s="179" t="s">
        <v>114</v>
      </c>
      <c r="BJ242" s="179" t="str">
        <f>IF(AND(I51="ANO",DE66=1,BQ40=28),DB66,IF(AND(I51="ANO",DE77=2,BQ40=28),DB77,IF(AND(I51="ANO",DE88=3,BQ40=28),DB88,IF(AND(I51="ANO",DE99=4,BQ40=28),DB99,IF(AND(I51="ANO",DE110=5,BQ40=28),DB110,IF(AND(I51="ANO",DE121=6,BQ40=28),DB121,IF(AND(I51="ANO",DE132=7,BQ40=28),DB132,IF(AND(I51="ANO",DE143=8,BQ40=28),DB143,""))))))))</f>
        <v/>
      </c>
      <c r="BK242" s="54"/>
      <c r="BL242" s="54"/>
      <c r="BM242" s="54"/>
      <c r="BN242" s="54"/>
      <c r="BO242" s="54"/>
      <c r="BP242" s="54"/>
      <c r="BQ242" s="54"/>
      <c r="BR242" s="54"/>
      <c r="BS242" s="54"/>
      <c r="BT242" s="54" t="str">
        <f>IF(AND(I51="ANO",DE66=1,BQ40=28),DB66,IF(AND(I51="ANO",DE77=2,BQ40=28),DB77,IF(AND(I51="ANO",DE88=3,BQ40=28),DB88,IF(AND(I51="ANO",DE99=4,BQ40=28),DB99,IF(AND(I51="ANO",DE110=5,BQ40=28),DB110,IF(AND(I51="ANO",DE121=6,BQ40=28),DB121,IF(AND(I51="ANO",DE132=7,BQ40=28),DB132,IF(AND(I51="ANO",DE143=8,BQ40=28),DB143,""))))))))</f>
        <v/>
      </c>
      <c r="CA242" s="9"/>
      <c r="CB242" s="9"/>
      <c r="CC242" s="9"/>
      <c r="CD242" s="9"/>
      <c r="CE242" s="8"/>
      <c r="CF242" s="10"/>
      <c r="CG242" s="10"/>
      <c r="CH242" s="10"/>
      <c r="CK242" s="9"/>
      <c r="CL242" s="9"/>
      <c r="CM242" s="9"/>
      <c r="CN242" s="9"/>
      <c r="CO242" s="8"/>
      <c r="CP242" s="1"/>
      <c r="CU242"/>
      <c r="CV242"/>
      <c r="CW242"/>
      <c r="CX242"/>
      <c r="DB242" s="11"/>
      <c r="DC242" s="11"/>
      <c r="DD242" s="11"/>
      <c r="DE242" s="11"/>
    </row>
    <row r="243" spans="2:109" ht="19.5" customHeight="1" x14ac:dyDescent="0.4">
      <c r="B243" s="1"/>
      <c r="E243" s="181">
        <v>22</v>
      </c>
      <c r="F243" s="36" t="str">
        <f>IF(AND(I51="ANO",(CV40+CV42+CV44+CV46)&gt;21,BQ40=24),"21.",IF(AND(I51="ANO",(CV40+CV42+CV44+CV46)&gt;21,BQ40=34),"21.",IF(AND(I51="ANO",(CV40+CV42+CV44+CV46)&gt;21,BQ40=44),"21.",IF(AND(I51="ANO",(CV40+CV42+CV44+CV46+CX40+CX42)&gt;21,BQ40=36),"17.",IF(AND(I51="ANO",(CV40+CV42+CV44+CV46+CX40+CX42+CX44+CX46)&gt;21,BQ40=28),"17.",IF(AND(I51="ANO",(CV40+CV42+CV44+CV46+CX40+CX42+CX44+CX46)&gt;21,BQ40=38),"17.",IF(AND(I51="ANO",(CV40+CV42+CV44+CV46+CX40+CX42+CX44+CX46)&gt;21,BQ40=48),"17.","")))))))</f>
        <v/>
      </c>
      <c r="G243" s="457" t="str">
        <f t="shared" si="215"/>
        <v/>
      </c>
      <c r="H243" s="458"/>
      <c r="I243" s="458"/>
      <c r="J243" s="458"/>
      <c r="K243" s="459"/>
      <c r="L243" s="455" t="e">
        <f t="shared" si="210"/>
        <v>#N/A</v>
      </c>
      <c r="M243" s="460"/>
      <c r="N243" s="460"/>
      <c r="O243" s="456"/>
      <c r="P243" s="461" t="str">
        <f>IF(AND(I51="ANO",BL38=4,CP61&gt;21),0,IF(AND(I51="ANO",BL38=3,F243="17."),15,IF(AND(I51="ANO",BL38=3,F243="21."),4,"")))</f>
        <v/>
      </c>
      <c r="Q243" s="458"/>
      <c r="R243" s="459"/>
      <c r="S243" s="462"/>
      <c r="T243" s="463"/>
      <c r="U243" s="464"/>
      <c r="V243" s="132"/>
      <c r="W243" s="457" t="str">
        <f>IF(AND(I51="ANO",(CV40+CV42+CV44+CV46+CX40+CX42+CX44+CX46)&gt;49,BQ40=28),"49.",IF(AND(I51="ANO",(CV40+CV42+CV44+CV46+CX40+CX42+CX44+CX46)&gt;49,BQ40=38),"49.",IF(AND(I51="ANO",(CV40+CV42+CV44+CV46+CX40+CX42+CX44+CX46)&gt;49,BQ40=48),"49.","")))</f>
        <v/>
      </c>
      <c r="X243" s="458"/>
      <c r="Y243" s="458"/>
      <c r="Z243" s="459"/>
      <c r="AA243" s="457" t="str">
        <f>IF(AND(I51="ANO",DE77=2,DB77&lt;&gt;AA242,BQ40=28),DB77,IF(AND(I51="ANO",DE88=3,DB88&lt;&gt;AA242,BQ40=28),DB88,IF(AND(I51="ANO",DE99=4,DB99&lt;&gt;AA242,BQ40=28),DB99,IF(AND(I51="ANO",DE110=5,DB110&lt;&gt;AA242,BQ40=28),DB110,IF(AND(I51="ANO",DE121=6,DB121&lt;&gt;AA242,BQ40=28),DB121,IF(AND(I51="ANO",DE132=7,DB132&lt;&gt;AA242,BQ40=28),DB132,IF(AND(I51="ANO",DE143=8,DB143&lt;&gt;AA242,BQ40=28),DB143,"")))))))</f>
        <v/>
      </c>
      <c r="AB243" s="458"/>
      <c r="AC243" s="458"/>
      <c r="AD243" s="458"/>
      <c r="AE243" s="458"/>
      <c r="AF243" s="458"/>
      <c r="AG243" s="458"/>
      <c r="AH243" s="458"/>
      <c r="AI243" s="458"/>
      <c r="AJ243" s="458"/>
      <c r="AK243" s="459"/>
      <c r="AL243" s="455" t="e">
        <f t="shared" si="212"/>
        <v>#N/A</v>
      </c>
      <c r="AM243" s="456"/>
      <c r="AN243" s="36" t="str">
        <f>IF(AND(I51="ANO",BL38=4,CP61&gt;49),0,IF(AND(I51="ANO",BL38=3,BQ40=36,W243="49."),4,IF(AND(I51="ANO",BL38=3,BQ40=28,W243="49."),4,"")))</f>
        <v/>
      </c>
      <c r="AO243" s="167"/>
      <c r="AP243" s="182">
        <v>50</v>
      </c>
      <c r="AQ243"/>
      <c r="AR243" s="6"/>
      <c r="AS243" s="6"/>
      <c r="AT243" s="110" t="str">
        <f t="shared" si="214"/>
        <v/>
      </c>
      <c r="AU243" s="178" t="s">
        <v>115</v>
      </c>
      <c r="AV243" s="179" t="str">
        <f>IF(AND(I51="ANO",DE117=6,BQ40=28),DB117,IF(AND(I51="ANO",DF76=2,DB76&lt;&gt;G242,BQ40=24),DB76,IF(AND(I51="ANO",DF87=3,DB87&lt;&gt;G242,BQ40=24),DB87,IF(AND(I51="ANO",DF98=4,DB98&lt;&gt;G242,BQ40=24),DB98,IF(AND(I51="ANO",DF76=2,DB76&lt;&gt;G242,BQ40=34),DB76,IF(AND(I51="ANO",DF87=3,DB87&lt;&gt;G242,BQ40=34),DB87,IF(AND(I51="ANO",DF98=4,DB98&lt;&gt;G242,BQ40=34),DB98,IF(AND(I51="ANO",DF76=2,DB76&lt;&gt;G242,BQ40=44),DB76,IF(AND(I51="ANO",DF87=3,DB87&lt;&gt;G242,BQ40=44),DB87,IF(AND(I51="ANO",DF98=4,DB98&lt;&gt;G242,BQ40=44),DB98,IF(AND(I51="ANO",DE96=4,DB96&lt;&gt;G240,DB96&lt;&gt;G241,DB96&lt;&gt;G242,BQ40=36),DB96,IF(AND(I51="ANO",DE107=5,DB107&lt;&gt;G240,DB107&lt;&gt;G241,DB107&lt;&gt;G242,BQ40=36),DB107,IF(AND(I51="ANO",DE118=6,DB118&lt;&gt;G240,DB118&lt;&gt;G241,DB118&lt;&gt;G242,BQ40=36),DB118,"")))))))))))))</f>
        <v/>
      </c>
      <c r="AW243" s="54"/>
      <c r="AX243" s="54"/>
      <c r="AY243" s="54"/>
      <c r="AZ243" s="54"/>
      <c r="BA243" s="54"/>
      <c r="BB243" s="54" t="b">
        <f>IF(AND(I51="ANO",DF76=2,DB76&lt;&gt;G242,BQ40=24),DB76,IF(AND(I51="ANO",DF87=3,DB87&lt;&gt;G242,BQ40=24),DB87,IF(AND(I51="ANO",DF98=4,DB98&lt;&gt;G242,BQ40=24),DB98)))</f>
        <v>0</v>
      </c>
      <c r="BC243" s="54" t="b">
        <f>IF(AND(I51="ANO",DF76=2,DB76&lt;&gt;G242,BQ40=34),DB76,IF(AND(I51="ANO",DF87=3,DB87&lt;&gt;G242,BQ40=34),DB87,IF(AND(I51="ANO",DF98=4,DB98&lt;&gt;G242,BQ40=34),DB98)))</f>
        <v>0</v>
      </c>
      <c r="BD243" s="54" t="b">
        <f>IF(AND(I51="ANO",DF76=2,DB76&lt;&gt;G242,BQ40=44),DB76,IF(AND(I51="ANO",DF87=3,DB87&lt;&gt;G242,BQ40=44),DB87,IF(AND(I51="ANO",DF98=4,DB98&lt;&gt;G242,BQ40=44),DB98)))</f>
        <v>0</v>
      </c>
      <c r="BE243" s="54" t="b">
        <f>IF(AND(I51="ANO",DE96=4,DB96&lt;&gt;G240,DB96&lt;&gt;G241,DB96&lt;&gt;G242,BQ40=36),DB96,IF(AND(I51="ANO",DE107=5,DB107&lt;&gt;G240,DB107&lt;&gt;G241,DB107&lt;&gt;G242,BQ40=36),DB107,IF(AND(I51="ANO",DE118=6,DB118&lt;&gt;G240,DB118&lt;&gt;G241,DB118&lt;&gt;G242,BQ40=36),DB118)))</f>
        <v>0</v>
      </c>
      <c r="BF243" s="54" t="b">
        <f>IF(AND(I51="ANO",DE117=6,BQ40=28),DB117)</f>
        <v>0</v>
      </c>
      <c r="BH243" s="54" t="str">
        <f t="shared" si="213"/>
        <v/>
      </c>
      <c r="BI243" s="179" t="s">
        <v>116</v>
      </c>
      <c r="BJ243" s="179" t="str">
        <f>IF(AND(I51="ANO",DE77=2,DB77&lt;&gt;AA242,BQ40=28),DB77,IF(AND(I51="ANO",DE88=3,DB88&lt;&gt;AA242,BQ40=28),DB88,IF(AND(I51="ANO",DE99=4,DB99&lt;&gt;AA242,BQ40=28),DB99,IF(AND(I51="ANO",DE110=5,DB110&lt;&gt;AA242,BQ40=28),DB110,IF(AND(I51="ANO",DE121=6,DB121&lt;&gt;AA242,BQ40=28),DB121,IF(AND(I51="ANO",DE132=7,DB132&lt;&gt;AA242,BQ40=28),DB132,IF(AND(I51="ANO",DE143=8,DB143&lt;&gt;AA242,BQ40=28),DB143,"")))))))</f>
        <v/>
      </c>
      <c r="BK243" s="54"/>
      <c r="BL243" s="54"/>
      <c r="BM243" s="54"/>
      <c r="BN243" s="54"/>
      <c r="BO243" s="54"/>
      <c r="BP243" s="54"/>
      <c r="BQ243" s="54"/>
      <c r="BR243" s="54"/>
      <c r="BS243" s="54"/>
      <c r="BT243" s="54" t="str">
        <f>IF(AND(I51="ANO",DE77=2,DB77&lt;&gt;AA242,BQ40=28),DB77,IF(AND(I51="ANO",DE88=3,DB88&lt;&gt;AA242,BQ40=28),DB88,IF(AND(I51="ANO",DE99=4,DB99&lt;&gt;AA242,BQ40=28),DB99,IF(AND(I51="ANO",DE110=5,DB110&lt;&gt;AA242,BQ40=28),DB110,IF(AND(I51="ANO",DE121=6,DB121&lt;&gt;AA242,BQ40=28),DB121,IF(AND(I51="ANO",DE132=7,DB132&lt;&gt;AA242,BQ40=28),DB132,IF(AND(I51="ANO",DE143=8,DB143&lt;&gt;AA242,BQ40=28),DB143,"")))))))</f>
        <v/>
      </c>
      <c r="CA243" s="9"/>
      <c r="CB243" s="9"/>
      <c r="CC243" s="9"/>
      <c r="CD243" s="9"/>
      <c r="CE243" s="8"/>
      <c r="CF243" s="10"/>
      <c r="CG243" s="10"/>
      <c r="CH243" s="10"/>
      <c r="CK243" s="9"/>
      <c r="CL243" s="9"/>
      <c r="CM243" s="9"/>
      <c r="CN243" s="9"/>
      <c r="CO243" s="8"/>
      <c r="CP243" s="1"/>
      <c r="CU243"/>
      <c r="CV243"/>
      <c r="CW243"/>
      <c r="CX243"/>
      <c r="DB243" s="11"/>
      <c r="DC243" s="11"/>
      <c r="DD243" s="11"/>
      <c r="DE243" s="11"/>
    </row>
    <row r="244" spans="2:109" ht="19.5" customHeight="1" x14ac:dyDescent="0.4">
      <c r="B244" s="1"/>
      <c r="E244" s="181">
        <v>23</v>
      </c>
      <c r="F244" s="36" t="str">
        <f>IF(AND(I51="ANO",(CV40+CV42+CV44+CV46)&gt;22,BQ40=24),"21.",IF(AND(I51="ANO",(CV40+CV42+CV44+CV46)&gt;22,BQ40=34),"21.",IF(AND(I51="ANO",(CV40+CV42+CV44+CV46)&gt;22,BQ40=44),"21.",IF(AND(I51="ANO",(CV40+CV42+CV44+CV46+CX40+CX42)&gt;22,BQ40=36),"17.",IF(AND(I51="ANO",(CV40+CV42+CV44+CV46+CX40+CX42+CX44+CX46)&gt;22,BQ40=28),"17.",IF(AND(I51="ANO",(CV40+CV42+CV44+CV46+CX40+CX42+CX44+CX46)&gt;22,BQ40=38),"17.",IF(AND(I51="ANO",(CV40+CV42+CV44+CV46+CX40+CX42+CX44+CX46)&gt;22,BQ40=48),"17.","")))))))</f>
        <v/>
      </c>
      <c r="G244" s="457" t="str">
        <f t="shared" si="215"/>
        <v/>
      </c>
      <c r="H244" s="458"/>
      <c r="I244" s="458"/>
      <c r="J244" s="458"/>
      <c r="K244" s="459"/>
      <c r="L244" s="455" t="e">
        <f t="shared" si="210"/>
        <v>#N/A</v>
      </c>
      <c r="M244" s="460"/>
      <c r="N244" s="460"/>
      <c r="O244" s="456"/>
      <c r="P244" s="461" t="str">
        <f>IF(AND(I51="ANO",BL38=4,CP61&gt;22),0,IF(AND(I51="ANO",BL38=3,F244="17."),15,IF(AND(I51="ANO",BL38=3,F244="21."),4,"")))</f>
        <v/>
      </c>
      <c r="Q244" s="458"/>
      <c r="R244" s="459"/>
      <c r="S244" s="462"/>
      <c r="T244" s="463"/>
      <c r="U244" s="464"/>
      <c r="V244" s="132"/>
      <c r="W244" s="457" t="str">
        <f>IF(AND(I51="ANO",(CV40+CV42+CV44+CV46+CX40+CX42+CX44+CX46)&gt;50,BQ40=28),"49.",IF(AND(I51="ANO",(CV40+CV42+CV44+CV46+CX40+CX42+CX44+CX46)&gt;50,BQ40=38),"49.",IF(AND(I51="ANO",(CV40+CV42+CV44+CV46+CX40+CX42+CX44+CX46)&gt;50,BQ40=48),"49.","")))</f>
        <v/>
      </c>
      <c r="X244" s="458"/>
      <c r="Y244" s="458"/>
      <c r="Z244" s="459"/>
      <c r="AA244" s="457" t="str">
        <f>IF(AND(I51="ANO",DE88=3,DB88&lt;&gt;AA242,DB88&lt;&gt;AA243,BQ40=28),DB88,IF(AND(I51="ANO",DE99=4,DB99&lt;&gt;AA242,DB99&lt;&gt;AA243,BQ40=28),DB99,IF(AND(I51="ANO",DE110=5,DB110&lt;&gt;AA242,DB110&lt;&gt;AA243,BQ40=28),DB110,IF(AND(I51="ANO",DE121=6,DB121&lt;&gt;AA242,DB121&lt;&gt;AA243,BQ40=28),DB121,IF(AND(I51="ANO",DE132=7,DB132&lt;&gt;AA242,DB132&lt;&gt;AA243,BQ40=28),DB132,IF(AND(I51="ANO",DE143=8,DB143&lt;&gt;AA242,DB143&lt;&gt;AA243,BQ40=28),DB143,""))))))</f>
        <v/>
      </c>
      <c r="AB244" s="458"/>
      <c r="AC244" s="458"/>
      <c r="AD244" s="458"/>
      <c r="AE244" s="458"/>
      <c r="AF244" s="458"/>
      <c r="AG244" s="458"/>
      <c r="AH244" s="458"/>
      <c r="AI244" s="458"/>
      <c r="AJ244" s="458"/>
      <c r="AK244" s="459"/>
      <c r="AL244" s="455" t="e">
        <f t="shared" si="212"/>
        <v>#N/A</v>
      </c>
      <c r="AM244" s="456"/>
      <c r="AN244" s="36" t="str">
        <f>IF(AND(I51="ANO",BL38=4,CP61&gt;50),0,IF(AND(I51="ANO",BL38=3,BQ40=36,W244="49."),4,IF(AND(I51="ANO",BL38=3,BQ40=28,W244="49."),4,"")))</f>
        <v/>
      </c>
      <c r="AO244" s="167"/>
      <c r="AP244" s="182">
        <v>51</v>
      </c>
      <c r="AQ244"/>
      <c r="AR244" s="6"/>
      <c r="AS244" s="6"/>
      <c r="AT244" s="110" t="str">
        <f t="shared" si="214"/>
        <v/>
      </c>
      <c r="AU244" s="178" t="s">
        <v>117</v>
      </c>
      <c r="AV244" s="179" t="str">
        <f>IF(AND(I51="ANO",DE128=7,BQ40=28),DB128,IF(AND(I51="ANO",DG87=3,DB87&lt;&gt;G242,DB87&lt;&gt;G243,BQ40=24),DB87,IF(AND(I51="ANO",DG98=4,DB98&lt;&gt;G242,DB98&lt;&gt;G243,BQ40=24),DB98,IF(AND(I51="ANO",DG87=3,DB87&lt;&gt;G242,DB87&lt;&gt;G243,BQ40=34),DB87,IF(AND(I51="ANO",DG98=4,DB98&lt;&gt;G242,DB98&lt;&gt;G243,BQ40=34),DB98,IF(AND(I51="ANO",DG87=3,DB87&lt;&gt;G242,DB87&lt;&gt;G243,BQ40=44),DB87,IF(AND(I51="ANO",DG98=4,DB98&lt;&gt;G242,DB98&lt;&gt;G243,BQ40=44),DB98,IF(AND(I51="ANO",DE107=5,DB107&lt;&gt;G240,DB107&lt;&gt;G241,DB107&lt;&gt;G242,DB107&lt;&gt;G243,BQ40=36),DB107,IF(AND(I51="ANO",DE118=6,DB118&lt;&gt;G240,DB118&lt;&gt;G241,DB118&lt;&gt;G242,DB118&lt;&gt;G243,BQ40=36),DB118,"")))))))))</f>
        <v/>
      </c>
      <c r="AW244" s="54"/>
      <c r="AX244" s="54"/>
      <c r="AY244" s="54"/>
      <c r="AZ244" s="54"/>
      <c r="BA244" s="54"/>
      <c r="BB244" s="54" t="b">
        <f>IF(AND(I51="ANO",DG87=3,DB87&lt;&gt;G242,DB87&lt;&gt;G243,BQ40=24),DB87,IF(AND(I51="ANO",DG98=4,DB98&lt;&gt;G242,DB98&lt;&gt;G243,BQ40=24),DB98))</f>
        <v>0</v>
      </c>
      <c r="BC244" s="54" t="b">
        <f>IF(AND(I51="ANO",DG87=3,DB87&lt;&gt;G242,DB87&lt;&gt;G243,BQ40=34),DB87,IF(AND(I51="ANO",DG98=4,DB98&lt;&gt;G242,DB98&lt;&gt;G243,BQ40=34),DB98))</f>
        <v>0</v>
      </c>
      <c r="BD244" s="54" t="b">
        <f>IF(AND(I51="ANO",DG87=3,DB87&lt;&gt;G242,DB87&lt;&gt;G243,BQ40=44),DB87,IF(AND(I51="ANO",DG98=4,DB98&lt;&gt;G242,DB98&lt;&gt;G243,BQ40=44),DB98))</f>
        <v>0</v>
      </c>
      <c r="BE244" s="54" t="b">
        <f>IF(AND(I51="ANO",DE107=5,DB107&lt;&gt;G240,DB107&lt;&gt;G241,DB107&lt;&gt;G242,DB107&lt;&gt;G243,BQ40=36),DB107,IF(AND(I51="ANO",DE118=6,DB118&lt;&gt;G240,DB118&lt;&gt;G241,DB118&lt;&gt;G242,DB118&lt;&gt;G243,BQ40=36),DB118))</f>
        <v>0</v>
      </c>
      <c r="BF244" s="54" t="b">
        <f>IF(AND(I51="ANO",DE128=7,BQ40=28),DB128)</f>
        <v>0</v>
      </c>
      <c r="BH244" s="54" t="str">
        <f t="shared" si="213"/>
        <v/>
      </c>
      <c r="BI244" s="179" t="s">
        <v>118</v>
      </c>
      <c r="BJ244" s="179" t="str">
        <f>IF(AND(I51="ANO",DE88=3,DB88&lt;&gt;AA242,DB88&lt;&gt;AA243,BQ40=28),DB88,IF(AND(I51="ANO",DE99=4,DB99&lt;&gt;AA242,DB99&lt;&gt;AA243,BQ40=28),DB99,IF(AND(I51="ANO",DE110=5,DB110&lt;&gt;AA242,DB110&lt;&gt;AA243,BQ40=28),DB110,IF(AND(I51="ANO",DE121=6,DB121&lt;&gt;AA242,DB121&lt;&gt;AA243,BQ40=28),DB121,IF(AND(I51="ANO",DE132=7,DB132&lt;&gt;AA242,DB132&lt;&gt;AA243,BQ40=28),DB132,IF(AND(I51="ANO",DE143=8,DB143&lt;&gt;AA242,DB143&lt;&gt;AA243,BQ40=28),DB143,""))))))</f>
        <v/>
      </c>
      <c r="BK244" s="54"/>
      <c r="BL244" s="54"/>
      <c r="BM244" s="54"/>
      <c r="BN244" s="54"/>
      <c r="BO244" s="54"/>
      <c r="BP244" s="54"/>
      <c r="BQ244" s="54"/>
      <c r="BR244" s="54"/>
      <c r="BS244" s="54"/>
      <c r="BT244" s="54" t="str">
        <f>IF(AND(I51="ANO",DE88=3,DB88&lt;&gt;AA242,DB88&lt;&gt;AA243,BQ40=28),DB88,IF(AND(I51="ANO",DE99=4,DB99&lt;&gt;AA242,DB99&lt;&gt;AA243,BQ40=28),DB99,IF(AND(I51="ANO",DE110=5,DB110&lt;&gt;AA242,DB110&lt;&gt;AA243,BQ40=28),DB110,IF(AND(I51="ANO",DE121=6,DB121&lt;&gt;AA242,DB121&lt;&gt;AA243,BQ40=28),DB121,IF(AND(I51="ANO",DE132=7,DB132&lt;&gt;AA242,DB132&lt;&gt;AA243,BQ40=28),DB132,IF(AND(I51="ANO",DE143=8,DB143&lt;&gt;AA242,DB143&lt;&gt;AA243,BQ40=28),DB143,""))))))</f>
        <v/>
      </c>
      <c r="CA244" s="9"/>
      <c r="CB244" s="9"/>
      <c r="CC244" s="9"/>
      <c r="CD244" s="9"/>
      <c r="CE244" s="8"/>
      <c r="CF244" s="10"/>
      <c r="CG244" s="10"/>
      <c r="CH244" s="10"/>
      <c r="CK244" s="9"/>
      <c r="CL244" s="9"/>
      <c r="CM244" s="9"/>
      <c r="CN244" s="9"/>
      <c r="CO244" s="8"/>
      <c r="CP244" s="1"/>
      <c r="CU244"/>
      <c r="CV244"/>
      <c r="CW244"/>
      <c r="CX244"/>
      <c r="DB244" s="11"/>
      <c r="DC244" s="11"/>
      <c r="DD244" s="11"/>
      <c r="DE244" s="11"/>
    </row>
    <row r="245" spans="2:109" ht="19.5" customHeight="1" x14ac:dyDescent="0.4">
      <c r="B245" s="1"/>
      <c r="E245" s="181">
        <v>24</v>
      </c>
      <c r="F245" s="36" t="str">
        <f>IF(AND(I51="ANO",(CV40+CV42+CV44+CV46)&gt;23,BQ40=24),"21.",IF(AND(I51="ANO",(CV40+CV42+CV44+CV46)&gt;23,BQ40=34),"21.",IF(AND(I51="ANO",(CV40+CV42+CV44+CV46)&gt;23,BQ40=44),"21.",IF(AND(I51="ANO",(CV40+CV42+CV44+CV46+CX40+CX42)&gt;23,BQ40=36),"17.",IF(AND(I51="ANO",(CV40+CV42+CV44+CV46+CX40+CX42+CX44+CX46)&gt;23,BQ40=28),"17.",IF(AND(I51="ANO",(CV40+CV42+CV44+CV46+CX40+CX42+CX44+CX46)&gt;23,BQ40=38),"17.",IF(AND(I51="ANO",(CV40+CV42+CV44+CV46+CX40+CX42+CX44+CX46)&gt;23,BQ40=48),"17.","")))))))</f>
        <v/>
      </c>
      <c r="G245" s="457" t="str">
        <f t="shared" si="215"/>
        <v/>
      </c>
      <c r="H245" s="458"/>
      <c r="I245" s="458"/>
      <c r="J245" s="458"/>
      <c r="K245" s="459"/>
      <c r="L245" s="455" t="e">
        <f t="shared" si="210"/>
        <v>#N/A</v>
      </c>
      <c r="M245" s="460"/>
      <c r="N245" s="460"/>
      <c r="O245" s="456"/>
      <c r="P245" s="461" t="str">
        <f>IF(AND(I51="ANO",BL38=4,CP61&gt;23),0,IF(AND(I51="ANO",BL38=3,F245="17."),15,IF(AND(I51="ANO",BL38=3,F245="21."),4,"")))</f>
        <v/>
      </c>
      <c r="Q245" s="458"/>
      <c r="R245" s="459"/>
      <c r="S245" s="462"/>
      <c r="T245" s="463"/>
      <c r="U245" s="464"/>
      <c r="V245" s="132"/>
      <c r="W245" s="457" t="str">
        <f>IF(AND(I51="ANO",(CV40+CV42+CV44+CV46+CX40+CX42+CX44+CX46)&gt;51,BQ40=28),"49.",IF(AND(I51="ANO",(CV40+CV42+CV44+CV46+CX40+CX42+CX44+CX46)&gt;51,BQ40=38),"49.",IF(AND(I51="ANO",(CV40+CV42+CV44+CV46+CX40+CX42+CX44+CX46)&gt;51,BQ40=48),"49.","")))</f>
        <v/>
      </c>
      <c r="X245" s="458"/>
      <c r="Y245" s="458"/>
      <c r="Z245" s="459"/>
      <c r="AA245" s="457" t="str">
        <f>IF(AND(I51="ANO",DE99=4,DB99&lt;&gt;AA242,DB99&lt;&gt;AA243,DB99&lt;&gt;AA244,BQ40=28),DB99,IF(AND(I51="ANO",DE110=5,DB110&lt;&gt;AA242,DB110&lt;&gt;AA243,DB110&lt;&gt;AA244,BQ40=28),DB110,IF(AND(I51="ANO",DE121=6,DB121&lt;&gt;AA242,DB121&lt;&gt;AA243,DB121&lt;&gt;AA244,BQ40=28),DB121,IF(AND(I51="ANO",DE132=7,DB132&lt;&gt;AA242,DB132&lt;&gt;AA243,DB132&lt;&gt;AA244,BQ40=28),DB132,IF(AND(I51="ANO",DE143=8,DB143&lt;&gt;AA242,DB143&lt;&gt;AA243,DB143&lt;&gt;AA244,BQ40=28),DB143,"")))))</f>
        <v/>
      </c>
      <c r="AB245" s="458"/>
      <c r="AC245" s="458"/>
      <c r="AD245" s="458"/>
      <c r="AE245" s="458"/>
      <c r="AF245" s="458"/>
      <c r="AG245" s="458"/>
      <c r="AH245" s="458"/>
      <c r="AI245" s="458"/>
      <c r="AJ245" s="458"/>
      <c r="AK245" s="459"/>
      <c r="AL245" s="455" t="e">
        <f t="shared" si="212"/>
        <v>#N/A</v>
      </c>
      <c r="AM245" s="456"/>
      <c r="AN245" s="36" t="str">
        <f>IF(AND(I51="ANO",BL38=4,CP61&gt;51),0,IF(AND(I51="ANO",BL38=3,BQ40=36,W245="49."),4,IF(AND(I51="ANO",BL38=3,BQ40=28,W245="49."),4,"")))</f>
        <v/>
      </c>
      <c r="AO245" s="167"/>
      <c r="AP245" s="182">
        <v>52</v>
      </c>
      <c r="AQ245"/>
      <c r="AR245" s="6"/>
      <c r="AS245" s="6"/>
      <c r="AT245" s="110" t="str">
        <f t="shared" si="214"/>
        <v/>
      </c>
      <c r="AU245" s="178" t="s">
        <v>119</v>
      </c>
      <c r="AV245" s="179" t="str">
        <f>IF(AND(I51="ANO",DE139=8,BQ40=28),DB139,IF(AND(I51="ANO",DG98=4,DB98&lt;&gt;G242,DB98&lt;&gt;G243,DB98&lt;&gt;G244,BQ40=24),DB98,IF(AND(I51="ANO",DG98=4,DB98&lt;&gt;G242,DB98&lt;&gt;G243,DB98&lt;&gt;G244,BQ40=34),DB98,IF(AND(I51="ANO",DG98=4,DB98&lt;&gt;G242,DB98&lt;&gt;G243,DB98&lt;&gt;G244,BQ40=44),DB98,IF(AND(I51="ANO",DE118=6,DB118&lt;&gt;G240,DB118&lt;&gt;G241,DB118&lt;&gt;G242,DB118&lt;&gt;G243,DB118&lt;&gt;G244,BQ40=36),DB118,"")))))</f>
        <v/>
      </c>
      <c r="AW245" s="54"/>
      <c r="AX245" s="54"/>
      <c r="AY245" s="54"/>
      <c r="AZ245" s="54"/>
      <c r="BA245" s="54"/>
      <c r="BB245" s="54" t="b">
        <f>IF(AND(I51="ANO",DG98=4,DB98&lt;&gt;G242,DB98&lt;&gt;G243,DB98&lt;&gt;G244,BQ40=24),DB98)</f>
        <v>0</v>
      </c>
      <c r="BC245" s="54" t="b">
        <f>IF(AND(I51="ANO",DG98=4,DB98&lt;&gt;G242,DB98&lt;&gt;G243,DB98&lt;&gt;G244,BQ40=34),DB98)</f>
        <v>0</v>
      </c>
      <c r="BD245" s="54" t="b">
        <f>IF(AND(I51="ANO",DG98=4,DB98&lt;&gt;G242,DB98&lt;&gt;G243,DB98&lt;&gt;G244,BQ40=44),DB98)</f>
        <v>0</v>
      </c>
      <c r="BE245" s="54" t="b">
        <f>IF(AND(I51="ANO",DE118=6,DB118&lt;&gt;G240,DB118&lt;&gt;G241,DB118&lt;&gt;G242,DB118&lt;&gt;G243,DB118&lt;&gt;G244,BQ40=36),DB118)</f>
        <v>0</v>
      </c>
      <c r="BF245" s="54" t="b">
        <f>IF(AND(I51="ANO",DE139=8,BQ40=28),DB139)</f>
        <v>0</v>
      </c>
      <c r="BH245" s="54" t="str">
        <f t="shared" si="213"/>
        <v/>
      </c>
      <c r="BI245" s="179" t="s">
        <v>120</v>
      </c>
      <c r="BJ245" s="179" t="str">
        <f>IF(AND(I51="ANO",DE99=4,DB99&lt;&gt;AA242,DB99&lt;&gt;AA243,DB99&lt;&gt;AA244,BQ40=28),DB99,IF(AND(I51="ANO",DE110=5,DB110&lt;&gt;AA242,DB110&lt;&gt;AA243,DB110&lt;&gt;AA244,BQ40=28),DB110,IF(AND(I51="ANO",DE121=6,DB121&lt;&gt;AA242,DB121&lt;&gt;AA243,DB121&lt;&gt;AA244,BQ40=28),DB121,IF(AND(I51="ANO",DE132=7,DB132&lt;&gt;AA242,DB132&lt;&gt;AA243,DB132&lt;&gt;AA244,BQ40=28),DB132,IF(AND(I51="ANO",DE143=8,DB143&lt;&gt;AA242,DB143&lt;&gt;AA243,DB143&lt;&gt;AA244,BQ40=28),DB143,"")))))</f>
        <v/>
      </c>
      <c r="BK245" s="54"/>
      <c r="BL245" s="54"/>
      <c r="BM245" s="54"/>
      <c r="BN245" s="54"/>
      <c r="BO245" s="54"/>
      <c r="BP245" s="54"/>
      <c r="BQ245" s="54"/>
      <c r="BR245" s="54"/>
      <c r="BS245" s="54"/>
      <c r="BT245" s="54" t="str">
        <f>IF(AND(I51="ANO",DE99=4,DB99&lt;&gt;AA242,DB99&lt;&gt;AA243,DB99&lt;&gt;AA244,BQ40=28),DB99,IF(AND(I51="ANO",DE110=5,DB110&lt;&gt;AA242,DB110&lt;&gt;AA243,DB110&lt;&gt;AA244,BQ40=28),DB110,IF(AND(I51="ANO",DE121=6,DB121&lt;&gt;AA242,DB121&lt;&gt;AA243,DB121&lt;&gt;AA244,BQ40=28),DB121,IF(AND(I51="ANO",DE132=7,DB132&lt;&gt;AA242,DB132&lt;&gt;AA243,DB132&lt;&gt;AA244,BQ40=28),DB132,IF(AND(I51="ANO",DE143=8,DB143&lt;&gt;AA242,DB143&lt;&gt;AA243,DB143&lt;&gt;AA244,BQ40=28),DB143,"")))))</f>
        <v/>
      </c>
      <c r="CA245" s="9"/>
      <c r="CB245" s="9"/>
      <c r="CC245" s="9"/>
      <c r="CD245" s="9"/>
      <c r="CE245" s="8"/>
      <c r="CF245" s="10"/>
      <c r="CG245" s="10"/>
      <c r="CH245" s="10"/>
      <c r="CK245" s="9"/>
      <c r="CL245" s="9"/>
      <c r="CM245" s="9"/>
      <c r="CN245" s="9"/>
      <c r="CO245" s="8"/>
      <c r="CP245" s="1"/>
      <c r="CU245"/>
      <c r="CV245"/>
      <c r="CW245"/>
      <c r="CX245"/>
      <c r="DB245" s="11"/>
      <c r="DC245" s="11"/>
      <c r="DD245" s="11"/>
      <c r="DE245" s="11"/>
    </row>
    <row r="246" spans="2:109" ht="19.5" customHeight="1" x14ac:dyDescent="0.4">
      <c r="B246" s="1"/>
      <c r="E246" s="181">
        <v>25</v>
      </c>
      <c r="F246" s="36" t="str">
        <f>IF(AND(I51="ANO",(CV40+CV42+CV44+CV46)&gt;24,BQ40=24),"25.",IF(AND(I51="ANO",(CV40+CV42+CV44+CV46)&gt;24,BQ40=34),"25.",IF(AND(I51="ANO",(CV40+CV42+CV44+CV46)&gt;24,BQ40=44),"25.",IF(AND(I51="ANO",(CV40+CV42+CV44+CV46+CX40+CX42)&gt;24,BQ40=36),"25.",IF(AND(I51="ANO",(CV40+CV42+CV44+CV46+CX40+CX42+CX44+CX46)&gt;24,BQ40=28),"25.",IF(AND(I51="ANO",(CV40+CV42+CV44+CV46+CX40+CX42+CX44+CX46)&gt;24,BQ40=38),"25.",IF(AND(I51="ANO",(CV40+CV42+CV44+CV46+CX40+CX42+CX44+CX46)&gt;24,BQ40=48),"25.","")))))))</f>
        <v/>
      </c>
      <c r="G246" s="457" t="str">
        <f t="shared" si="215"/>
        <v/>
      </c>
      <c r="H246" s="458"/>
      <c r="I246" s="458"/>
      <c r="J246" s="458"/>
      <c r="K246" s="459"/>
      <c r="L246" s="455" t="e">
        <f t="shared" si="210"/>
        <v>#N/A</v>
      </c>
      <c r="M246" s="460"/>
      <c r="N246" s="460"/>
      <c r="O246" s="456"/>
      <c r="P246" s="461" t="str">
        <f>IF(AND(I51="ANO",BL38=3,BQ40=24,CP61&gt;24),0,IF(AND(I51="ANO",BL38=3,BQ40=34,CP61&gt;24),0,IF(AND(I51="ANO",BL38=3,BQ40=44,CP61&gt;24),0,IF(AND(I51="ANO",BL38=4,CP61&gt;24),0,IF(AND(I51="ANO",BL38=3,BQ40=36,F246="25."),10,IF(AND(I51="ANO",BL38=3,BQ40=28,F246="25."),10,""))))))</f>
        <v/>
      </c>
      <c r="Q246" s="458"/>
      <c r="R246" s="459"/>
      <c r="S246" s="462"/>
      <c r="T246" s="463"/>
      <c r="U246" s="464"/>
      <c r="V246" s="132"/>
      <c r="W246" s="457" t="str">
        <f>IF(AND(I51="ANO",(CV40+CV42+CV44+CV46+CX40+CX42+CX44+CX46)&gt;52,BQ40=28),"49.",IF(AND(I51="ANO",(CV40+CV42+CV44+CV46+CX40+CX42+CX44+CX46)&gt;52,BQ40=38),"49.",IF(AND(I51="ANO",(CV40+CV42+CV44+CV46+CX40+CX42+CX44+CX46)&gt;52,BQ40=48),"49.","")))</f>
        <v/>
      </c>
      <c r="X246" s="458"/>
      <c r="Y246" s="458"/>
      <c r="Z246" s="459"/>
      <c r="AA246" s="457" t="str">
        <f>IF(AND(I51="ANO",DE110=5,DB110&lt;&gt;AA242,DB110&lt;&gt;AA243,DB110&lt;&gt;AA244,DB110&lt;&gt;AA245,BQ40=28),DB110,IF(AND(I51="ANO",DE121=6,DB121&lt;&gt;AA242,DB121&lt;&gt;AA243,DB121&lt;&gt;AA244,DB121&lt;&gt;AA245,BQ40=28),DB121,IF(AND(I51="ANO",DE132=7,DB132&lt;&gt;AA242,DB132&lt;&gt;AA243,DB132&lt;&gt;AA244,DB132&lt;&gt;AA245,BQ40=28),DB132,IF(AND(I51="ANO",DE143=8,DB143&lt;&gt;AA242,DB143&lt;&gt;AA243,DB143&lt;&gt;AA244,DB143&lt;&gt;AA245,BQ40=28),DB143,""))))</f>
        <v/>
      </c>
      <c r="AB246" s="458"/>
      <c r="AC246" s="458"/>
      <c r="AD246" s="458"/>
      <c r="AE246" s="458"/>
      <c r="AF246" s="458"/>
      <c r="AG246" s="458"/>
      <c r="AH246" s="458"/>
      <c r="AI246" s="458"/>
      <c r="AJ246" s="458"/>
      <c r="AK246" s="459"/>
      <c r="AL246" s="455" t="e">
        <f t="shared" si="212"/>
        <v>#N/A</v>
      </c>
      <c r="AM246" s="456"/>
      <c r="AN246" s="36" t="str">
        <f>IF(AND(I51="ANO",BL38=4,CP61&gt;52),0,IF(AND(I51="ANO",BL38=3,BQ40=36,W246="49."),4,IF(AND(I51="ANO",BL38=3,BQ40=28,W246="49."),4,"")))</f>
        <v/>
      </c>
      <c r="AO246" s="167"/>
      <c r="AP246" s="182">
        <v>53</v>
      </c>
      <c r="AQ246"/>
      <c r="AR246" s="6"/>
      <c r="AS246" s="6"/>
      <c r="AT246" s="110" t="str">
        <f t="shared" si="214"/>
        <v/>
      </c>
      <c r="AU246" s="178" t="s">
        <v>122</v>
      </c>
      <c r="AV246" s="179" t="str">
        <f>IF(AND(I51="ANO",DE63=1,BQ40=28),DB63,IF(AND(I51="ANO",DE74=2,BQ40=28),DB74,IF(AND(I51="ANO",DE85=3,BQ40=28),DB85,IF(AND(I51="ANO",DE96=4,BQ40=28),DB96,IF(AND(I51="ANO",DE107=5,BQ40=28),DB107,IF(AND(I51="ANO",DE118=6,BQ40=28),DB118,IF(AND(I51="ANO",DE129=7,BQ40=28),DB129,IF(AND(I51="ANO",DE140=8,BQ40=28),DB140,IF(AND(I51="ANO",DE66=1,BQ40=24),DB66,IF(AND(I51="ANO",DE66&lt;&gt;1,DE77=2,BQ40=24),DB77,IF(AND(I51="ANO",DE66&lt;&gt;1,DE77&lt;&gt;2,DE88=3,BQ40=24),DB88,IF(AND(I51="ANO",DE66&lt;&gt;1,DE77&lt;&gt;2,DE88&lt;&gt;3,DE99=4,BQ40=24),DB99,IF(AND(I51="ANO",DE66=1,BQ40=34),DB66,IF(AND(I51="ANO",DE66&lt;&gt;1,DE77=2,BQ40=34),DB77,IF(AND(I51="ANO",DE66&lt;&gt;1,DE77&lt;&gt;2,DE88=3,BQ40=34),DB88,IF(AND(I51="ANO",DE66&lt;&gt;1,DE77&lt;&gt;2,DE88&lt;&gt;3,DE99=4,BQ40=34),DB99,IF(AND(I51="ANO",DE66=1,BQ40=44),DB66,IF(AND(I51="ANO",DE66&lt;&gt;1,DE77=2,BQ40=44),DB77,IF(AND(I51="ANO",DE66&lt;&gt;1,DE77&lt;&gt;2,DE88=3,BQ40=44),DB88,IF(AND(I51="ANO",DE66&lt;&gt;1,DE77&lt;&gt;2,DE88&lt;&gt;3,DE99=4,BQ40=44),DB99,IF(AND(I51="ANO",DE64=1,BQ40=36),DB64,IF(AND(I51="ANO",DE75=2,BQ40=36),DB75,IF(AND(I51="ANO",DE86=3,BQ40=36),DB86,IF(AND(I51="ANO",DE97=4,BQ40=36),DB97,IF(AND(I51="ANO",DE108=5,BQ40=36),DB108,IF(AND(I51="ANO",DE119=6,BQ40=36),DB119,""))))))))))))))))))))))))))</f>
        <v/>
      </c>
      <c r="AW246" s="54"/>
      <c r="AX246" s="54"/>
      <c r="AY246" s="54"/>
      <c r="AZ246" s="54"/>
      <c r="BA246" s="54"/>
      <c r="BB246" s="54" t="b">
        <f>IF(AND(I51="ANO",DE66=1,BQ40=24),DB66,IF(AND(I51="ANO",DE66&lt;&gt;1,DE77=2,BQ40=24),DB77,IF(AND(I51="ANO",DE66&lt;&gt;1,DE77&lt;&gt;2,DE88=3,BQ40=24),DB88,IF(AND(I51="ANO",DE66&lt;&gt;1,DE77&lt;&gt;2,DE88&lt;&gt;3,DE99=4,BQ40=24),DB99))))</f>
        <v>0</v>
      </c>
      <c r="BC246" s="54" t="b">
        <f>IF(AND(I51="ANO",DE66=1,BQ40=34),DB66,IF(AND(I51="ANO",DE66&lt;&gt;1,DE77=2,BQ40=34),DB77,IF(AND(I51="ANO",DE66&lt;&gt;1,DE77&lt;&gt;2,DE88=3,BQ40=34),DB88,IF(AND(I51="ANO",DE66&lt;&gt;1,DE77&lt;&gt;2,DE88&lt;&gt;3,DE99=4,BQ40=34),DB99))))</f>
        <v>0</v>
      </c>
      <c r="BD246" s="54" t="b">
        <f>IF(AND(I51="ANO",DE66=1,BQ40=44),DB66,IF(AND(I51="ANO",DE66&lt;&gt;1,DE77=2,BQ40=44),DB77,IF(AND(I51="ANO",DE66&lt;&gt;1,DE77&lt;&gt;2,DE88=3,BQ40=44),DB88,IF(AND(I51="ANO",DE66&lt;&gt;1,DE77&lt;&gt;2,DE88&lt;&gt;3,DE99=4,BQ40=44),DB99))))</f>
        <v>0</v>
      </c>
      <c r="BE246" s="54" t="b">
        <f>IF(AND(I51="ANO",DE64=1,BQ40=36),DB64,IF(AND(I51="ANO",DE75=2,BQ40=36),DB75,IF(AND(I51="ANO",DE86=3,BQ40=36),DB86,IF(AND(I51="ANO",DE97=4,BQ40=36),DB97,IF(AND(I51="ANO",DE108=5,BQ40=36),DB108,IF(AND(I51="ANO",DE119=6,BQ40=36),DB119))))))</f>
        <v>0</v>
      </c>
      <c r="BF246" s="54" t="b">
        <f>IF(AND(I51="ANO",DE63=1,BQ40=28),DB63,IF(AND(I51="ANO",DE74=2,BQ40=28),DB74,IF(AND(I51="ANO",DE85=3,BQ40=28),DB85,IF(AND(I51="ANO",DE96=4,BQ40=28),DB96,IF(AND(I51="ANO",DE107=5,BQ40=28),DB107,IF(AND(I51="ANO",DE118=6,BQ40=28),DB118,IF(AND(I51="ANO",DE129=7,BQ40=28),DB129,IF(AND(I51="ANO",DE140=8,BQ40=28),DB140))))))))</f>
        <v>0</v>
      </c>
      <c r="BH246" s="54" t="str">
        <f t="shared" si="213"/>
        <v/>
      </c>
      <c r="BI246" s="179" t="s">
        <v>123</v>
      </c>
      <c r="BJ246" s="179" t="str">
        <f>IF(AND(I51="ANO",DE110=5,DB110&lt;&gt;AA242,DB110&lt;&gt;AA243,DB110&lt;&gt;AA244,DB110&lt;&gt;AA245,BQ40=28),DB110,IF(AND(I51="ANO",DE121=6,DB121&lt;&gt;AA242,DB121&lt;&gt;AA243,DB121&lt;&gt;AA244,DB121&lt;&gt;AA245,BQ40=28),DB121,IF(AND(I51="ANO",DE132=7,DB132&lt;&gt;AA242,DB132&lt;&gt;AA243,DB132&lt;&gt;AA244,DB132&lt;&gt;AA245,BQ40=28),DB132,IF(AND(I51="ANO",DE143=8,DB143&lt;&gt;AA242,DB143&lt;&gt;AA243,DB143&lt;&gt;AA244,DB143&lt;&gt;AA245,BQ40=28),DB143,""))))</f>
        <v/>
      </c>
      <c r="BK246" s="54"/>
      <c r="BL246" s="54"/>
      <c r="BM246" s="54"/>
      <c r="BN246" s="54"/>
      <c r="BO246" s="54"/>
      <c r="BP246" s="54"/>
      <c r="BQ246" s="54"/>
      <c r="BR246" s="54"/>
      <c r="BS246" s="54"/>
      <c r="BT246" s="54" t="str">
        <f>IF(AND(I51="ANO",DE110=5,DB110&lt;&gt;AA242,DB110&lt;&gt;AA243,DB110&lt;&gt;AA244,DB110&lt;&gt;AA245,BQ40=28),DB110,IF(AND(I51="ANO",DE121=6,DB121&lt;&gt;AA242,DB121&lt;&gt;AA243,DB121&lt;&gt;AA244,DB121&lt;&gt;AA245,BQ40=28),DB121,IF(AND(I51="ANO",DE132=7,DB132&lt;&gt;AA242,DB132&lt;&gt;AA243,DB132&lt;&gt;AA244,DB132&lt;&gt;AA245,BQ40=28),DB132,IF(AND(I51="ANO",DE143=8,DB143&lt;&gt;AA242,DB143&lt;&gt;AA243,DB143&lt;&gt;AA244,DB143&lt;&gt;AA245,BQ40=28),DB143,""))))</f>
        <v/>
      </c>
      <c r="CA246" s="9"/>
      <c r="CB246" s="9"/>
      <c r="CC246" s="9"/>
      <c r="CD246" s="9"/>
      <c r="CE246" s="8"/>
      <c r="CF246" s="10"/>
      <c r="CG246" s="10"/>
      <c r="CH246" s="10"/>
      <c r="CK246" s="9"/>
      <c r="CL246" s="9"/>
      <c r="CM246" s="9"/>
      <c r="CN246" s="9"/>
      <c r="CO246" s="8"/>
      <c r="CP246" s="1"/>
      <c r="CU246"/>
      <c r="CV246"/>
      <c r="CW246"/>
      <c r="CX246"/>
      <c r="DB246" s="11"/>
      <c r="DC246" s="11"/>
      <c r="DD246" s="11"/>
      <c r="DE246" s="11"/>
    </row>
    <row r="247" spans="2:109" ht="19.5" customHeight="1" x14ac:dyDescent="0.4">
      <c r="B247" s="1"/>
      <c r="E247" s="181">
        <v>26</v>
      </c>
      <c r="F247" s="36" t="str">
        <f>IF(AND(I51="ANO",(CV40+CV42+CV44+CV46)&gt;25,BQ40=24),"25.",IF(AND(I51="ANO",(CV40+CV42+CV44+CV46)&gt;25,BQ40=34),"25.",IF(AND(I51="ANO",(CV40+CV42+CV44+CV46)&gt;25,BQ40=44),"25.",IF(AND(I51="ANO",(CV40+CV42+CV44+CV46+CX40+CX42)&gt;25,BQ40=36),"25.",IF(AND(I51="ANO",(CV40+CV42+CV44+CV46+CX40+CX42+CX44+CX46)&gt;25,BQ40=28),"25.",IF(AND(I51="ANO",(CV40+CV42+CV44+CV46+CX40+CX42+CX44+CX46)&gt;25,BQ40=38),"25.",IF(AND(I51="ANO",(CV40+CV42+CV44+CV46+CX40+CX42+CX44+CX46)&gt;25,BQ40=48),"25.","")))))))</f>
        <v/>
      </c>
      <c r="G247" s="457" t="str">
        <f t="shared" si="215"/>
        <v/>
      </c>
      <c r="H247" s="458"/>
      <c r="I247" s="458"/>
      <c r="J247" s="458"/>
      <c r="K247" s="459"/>
      <c r="L247" s="455" t="e">
        <f t="shared" si="210"/>
        <v>#N/A</v>
      </c>
      <c r="M247" s="460"/>
      <c r="N247" s="460"/>
      <c r="O247" s="456"/>
      <c r="P247" s="461" t="str">
        <f>IF(AND(I51="ANO",BL38=3,BQ40=24,CP61&gt;25),0,IF(AND(I51="ANO",BL38=3,BQ40=34,CP61&gt;25),0,IF(AND(I51="ANO",BL38=3,BQ40=44,CP61&gt;25),0,IF(AND(I51="ANO",BL38=4,CP61&gt;25),0,IF(AND(I51="ANO",BL38=3,BQ40=36,F247="25."),10,IF(AND(I51="ANO",BL38=3,BQ40=28,F247="25."),10,""))))))</f>
        <v/>
      </c>
      <c r="Q247" s="458"/>
      <c r="R247" s="459"/>
      <c r="S247" s="462"/>
      <c r="T247" s="463"/>
      <c r="U247" s="464"/>
      <c r="V247" s="132"/>
      <c r="W247" s="457" t="str">
        <f>IF(AND(I51="ANO",(CV40+CV42+CV44+CV46+CX40+CX42+CX44+CX46)&gt;53,BQ40=28),"49.",IF(AND(I51="ANO",(CV40+CV42+CV44+CV46+CX40+CX42+CX44+CX46)&gt;53,BQ40=38),"49.",IF(AND(I51="ANO",(CV40+CV42+CV44+CV46+CX40+CX42+CX44+CX46)&gt;53,BQ40=48),"49.","")))</f>
        <v/>
      </c>
      <c r="X247" s="458"/>
      <c r="Y247" s="458"/>
      <c r="Z247" s="459"/>
      <c r="AA247" s="457" t="str">
        <f>IF(AND(I51="ANO",DE121=6,DB121&lt;&gt;AA242,DB121&lt;&gt;AA243,DB121&lt;&gt;AA244,DB121&lt;&gt;AA245,DB121&lt;&gt;AA246,BQ40=28),DB121,IF(AND(I51="ANO",DE132=7,DB132&lt;&gt;AA242,DB132&lt;&gt;AA243,DB132&lt;&gt;AA244,DB132&lt;&gt;AA245,DB132&lt;&gt;AA246,BQ40=28),DB132,IF(AND(I51="ANO",DE143=8,DB143&lt;&gt;AA242,DB143&lt;&gt;AA243,DB143&lt;&gt;AA244,DB143&lt;&gt;AA245,DB143&lt;&gt;AA246,BQ40=28),DB143,"")))</f>
        <v/>
      </c>
      <c r="AB247" s="458"/>
      <c r="AC247" s="458"/>
      <c r="AD247" s="458"/>
      <c r="AE247" s="458"/>
      <c r="AF247" s="458"/>
      <c r="AG247" s="458"/>
      <c r="AH247" s="458"/>
      <c r="AI247" s="458"/>
      <c r="AJ247" s="458"/>
      <c r="AK247" s="459"/>
      <c r="AL247" s="455" t="e">
        <f t="shared" si="212"/>
        <v>#N/A</v>
      </c>
      <c r="AM247" s="456"/>
      <c r="AN247" s="36" t="str">
        <f>IF(AND(I51="ANO",BL38=4,CP61&gt;53),0,IF(AND(I51="ANO",BL38=3,BQ40=36,W247="49."),4,IF(AND(I51="ANO",BL38=3,BQ40=28,W247="49."),4,"")))</f>
        <v/>
      </c>
      <c r="AO247" s="167"/>
      <c r="AP247" s="182">
        <v>54</v>
      </c>
      <c r="AQ247"/>
      <c r="AR247" s="6"/>
      <c r="AS247" s="6"/>
      <c r="AT247" s="110" t="str">
        <f t="shared" si="214"/>
        <v/>
      </c>
      <c r="AU247" s="178" t="s">
        <v>126</v>
      </c>
      <c r="AV247" s="179" t="str">
        <f>IF(AND(I51="ANO",DE74=2,DB74&lt;&gt;G246,BQ40=28),DB74,IF(AND(I51="ANO",DE85=3,DB85&lt;&gt;G246,BQ40=28),DB85,IF(AND(I51="ANO",DE96=4,DB96&lt;&gt;G246,BQ40=28),DB96,IF(AND(I51="ANO",DE107=5,DB107&lt;&gt;G246,BQ40=28),DB107,IF(AND(I51="ANO",DE118=6,DB118&lt;&gt;G246,BQ40=28),DB118,IF(AND(I51="ANO",DE129=7,DB129&lt;&gt;G246,BQ40=28),DB129,IF(AND(I51="ANO",DE140=8,DB140&lt;&gt;G246,BQ40=28),DB140,IF(AND(I51="ANO",DF77=2,DB77&lt;&gt;G246,BQ40=24),DB77,IF(AND(I51="ANO",DF88=3,DB88&lt;&gt;G246,BQ40=24),DB88,IF(AND(I51="ANO",DF99=4,DB99&lt;&gt;G246,BQ40=24),DB99,IF(AND(I51="ANO",DF77=2,DB77&lt;&gt;G246,BQ40=34),DB77,IF(AND(I51="ANO",DF88=3,DB88&lt;&gt;G246,BQ40=34),DB88,IF(AND(I51="ANO",DF99=4,DB99&lt;&gt;G246,BQ40=34),DB99,IF(AND(I51="ANO",DF77=2,DB77&lt;&gt;G246,BQ40=44),DB77,IF(AND(I51="ANO",DF88=3,DB88&lt;&gt;G246,BQ40=44),DB88,IF(AND(I51="ANO",DF99=4,DB99&lt;&gt;G246,BQ40=44),DB99,IF(AND(I51="ANO",DE75=2,DB75&lt;&gt;G246,BQ40=36),DB75,IF(AND(I51="ANO",DE86=3,DB86&lt;&gt;G246,BQ40=36),DB86,IF(AND(I51="ANO",DE97=4,DB97&lt;&gt;G246,BQ40=36),DB97,IF(AND(I51="ANO",DE108=5,DB108&lt;&gt;G246,BQ40=36),DB108,IF(AND(I51="ANO",DE119=6,DB119&lt;&gt;G246,BQ40=36),DB119,"")))))))))))))))))))))</f>
        <v/>
      </c>
      <c r="AW247" s="54"/>
      <c r="AX247" s="54"/>
      <c r="AY247" s="54"/>
      <c r="AZ247" s="54"/>
      <c r="BA247" s="54"/>
      <c r="BB247" s="54" t="b">
        <f>IF(AND(I51="ANO",DF77=2,DB77&lt;&gt;G246,BQ40=24),DB77,IF(AND(I51="ANO",DF88=3,DB88&lt;&gt;G246,BQ40=24),DB88,IF(AND(I51="ANO",DF99=4,DB99&lt;&gt;G246,BQ40=24),DB99)))</f>
        <v>0</v>
      </c>
      <c r="BC247" s="54" t="b">
        <f>IF(AND(I51="ANO",DF77=2,DB77&lt;&gt;G246,BQ40=34),DB77,IF(AND(I51="ANO",DF88=3,DB88&lt;&gt;G246,BQ40=34),DB88,IF(AND(I51="ANO",DF99=4,DB99&lt;&gt;G246,BQ40=34),DB99)))</f>
        <v>0</v>
      </c>
      <c r="BD247" s="54" t="b">
        <f>IF(AND(I51="ANO",DF77=2,DB77&lt;&gt;G246,BQ40=44),DB77,IF(AND(I51="ANO",DF88=3,DB88&lt;&gt;G246,BQ40=44),DB88,IF(AND(I51="ANO",DF99=4,DB99&lt;&gt;G246,BQ40=44),DB99)))</f>
        <v>0</v>
      </c>
      <c r="BE247" s="54" t="b">
        <f>IF(AND(I51="ANO",DE75=2,DB75&lt;&gt;G246,BQ40=36),DB75,IF(AND(I51="ANO",DE86=3,DB86&lt;&gt;G246,BQ40=36),DB86,IF(AND(I51="ANO",DE97=4,DB97&lt;&gt;G246,BQ40=36),DB97,IF(AND(I51="ANO",DE108=5,DB108&lt;&gt;G246,BQ40=36),DB108,IF(AND(I51="ANO",DE119=6,DB119&lt;&gt;G246,BQ40=36),DB119)))))</f>
        <v>0</v>
      </c>
      <c r="BF247" s="54" t="b">
        <f>IF(AND(I51="ANO",DE74=2,DB74&lt;&gt;G246,BQ40=28),DB74,IF(AND(I51="ANO",DE85=3,DB85&lt;&gt;G246,BQ40=28),DB85,IF(AND(I51="ANO",DE96=4,DB96&lt;&gt;G246,BQ40=28),DB96,IF(AND(I51="ANO",DE107=5,DB107&lt;&gt;G246,BQ40=28),DB107,IF(AND(I51="ANO",DE118=6,DB118&lt;&gt;G246,BQ40=28),DB118,IF(AND(I51="ANO",DE129=7,DB129&lt;&gt;G246,BQ40=28),DB129,IF(AND(I51="ANO",DE140=8,DB140&lt;&gt;G246,BQ40=28),DB140)))))))</f>
        <v>0</v>
      </c>
      <c r="BH247" s="54" t="str">
        <f t="shared" si="213"/>
        <v/>
      </c>
      <c r="BI247" s="179" t="s">
        <v>127</v>
      </c>
      <c r="BJ247" s="179" t="str">
        <f>IF(AND(I51="ANO",DE121=6,DB121&lt;&gt;AA242,DB121&lt;&gt;AA243,DB121&lt;&gt;AA244,DB121&lt;&gt;AA245,DB121&lt;&gt;AA246,BQ40=28),DB121,IF(AND(I51="ANO",DE132=7,DB132&lt;&gt;AA242,DB132&lt;&gt;AA243,DB132&lt;&gt;AA244,DB132&lt;&gt;AA245,DB132&lt;&gt;AA246,BQ40=28),DB132,IF(AND(I51="ANO",DE143=8,DB143&lt;&gt;AA242,DB143&lt;&gt;AA243,DB143&lt;&gt;AA244,DB143&lt;&gt;AA245,DB143&lt;&gt;AA246,BQ40=28),DB143,"")))</f>
        <v/>
      </c>
      <c r="BK247" s="54"/>
      <c r="BL247" s="54"/>
      <c r="BM247" s="54"/>
      <c r="BN247" s="54"/>
      <c r="BO247" s="54"/>
      <c r="BP247" s="54"/>
      <c r="BQ247" s="54"/>
      <c r="BR247" s="54"/>
      <c r="BS247" s="54"/>
      <c r="BT247" s="54" t="str">
        <f>IF(AND(I51="ANO",DE121=6,DB121&lt;&gt;AA242,DB121&lt;&gt;AA243,DB121&lt;&gt;AA244,DB121&lt;&gt;AA245,DB121&lt;&gt;AA246,BQ40=28),DB121,IF(AND(I51="ANO",DE132=7,DB132&lt;&gt;AA242,DB132&lt;&gt;AA243,DB132&lt;&gt;AA244,DB132&lt;&gt;AA245,DB132&lt;&gt;AA246,BQ40=28),DB132,IF(AND(I51="ANO",DE143=8,DB143&lt;&gt;AA242,DB143&lt;&gt;AA243,DB143&lt;&gt;AA244,DB143&lt;&gt;AA245,DB143&lt;&gt;AA246,BQ40=28),DB143,"")))</f>
        <v/>
      </c>
      <c r="CA247" s="9"/>
      <c r="CB247" s="9"/>
      <c r="CC247" s="9"/>
      <c r="CD247" s="9"/>
      <c r="CE247" s="8"/>
      <c r="CF247" s="10"/>
      <c r="CG247" s="10"/>
      <c r="CH247" s="10"/>
      <c r="CK247" s="9"/>
      <c r="CL247" s="9"/>
      <c r="CM247" s="9"/>
      <c r="CN247" s="9"/>
      <c r="CO247" s="8"/>
      <c r="CP247" s="1"/>
      <c r="CU247"/>
      <c r="CV247"/>
      <c r="CW247"/>
      <c r="CX247"/>
      <c r="DB247" s="11"/>
      <c r="DC247" s="11"/>
      <c r="DD247" s="11"/>
      <c r="DE247" s="11"/>
    </row>
    <row r="248" spans="2:109" ht="19.5" customHeight="1" x14ac:dyDescent="0.4">
      <c r="B248" s="1"/>
      <c r="E248" s="181">
        <v>27</v>
      </c>
      <c r="F248" s="36" t="str">
        <f>IF(AND(I51="ANO",(CV40+CV42+CV44+CV46)&gt;26,BQ40=24),"25.",IF(AND(I51="ANO",(CV40+CV42+CV44+CV46)&gt;26,BQ40=34),"25.",IF(AND(I51="ANO",(CV40+CV42+CV44+CV46)&gt;26,BQ40=44),"25.",IF(AND(I51="ANO",(CV40+CV42+CV44+CV46+CX40+CX42)&gt;26,BQ40=36),"25.",IF(AND(I51="ANO",(CV40+CV42+CV44+CV46+CX40+CX42+CX44+CX46)&gt;26,BQ40=28),"25.",IF(AND(I51="ANO",(CV40+CV42+CV44+CV46+CX40+CX42+CX44+CX46)&gt;26,BQ40=38),"25.",IF(AND(I51="ANO",(CV40+CV42+CV44+CV46+CX40+CX42+CX44+CX46)&gt;26,BQ40=48),"25.","")))))))</f>
        <v/>
      </c>
      <c r="G248" s="457" t="str">
        <f t="shared" si="215"/>
        <v/>
      </c>
      <c r="H248" s="458"/>
      <c r="I248" s="458"/>
      <c r="J248" s="458"/>
      <c r="K248" s="459"/>
      <c r="L248" s="455" t="e">
        <f t="shared" si="210"/>
        <v>#N/A</v>
      </c>
      <c r="M248" s="460"/>
      <c r="N248" s="460"/>
      <c r="O248" s="456"/>
      <c r="P248" s="461" t="str">
        <f>IF(AND(I51="ANO",BL38=3,BQ40=24,CP61&gt;26),0,IF(AND(I51="ANO",BL38=3,BQ40=34,CP61&gt;26),0,IF(AND(I51="ANO",BL38=3,BQ40=44,CP61&gt;26),0,IF(AND(I51="ANO",BL38=4,CP61&gt;26),0,IF(AND(I51="ANO",BL38=3,BQ40=36,F248="25."),10,IF(AND(I51="ANO",BL38=3,BQ40=28,F248="25."),10,""))))))</f>
        <v/>
      </c>
      <c r="Q248" s="458"/>
      <c r="R248" s="459"/>
      <c r="S248" s="462"/>
      <c r="T248" s="463"/>
      <c r="U248" s="464"/>
      <c r="V248" s="132"/>
      <c r="W248" s="457" t="str">
        <f>IF(AND(I51="ANO",(CV40+CV42+CV44+CV46+CX40+CX42+CX44+CX46)&gt;54,BQ40=28),"49.",IF(AND(I51="ANO",(CV40+CV42+CV44+CV46+CX40+CX42+CX44+CX46)&gt;54,BQ40=38),"49.",IF(AND(I51="ANO",(CV40+CV42+CV44+CV46+CX40+CX42+CX44+CX46)&gt;54,BQ40=48),"49.","")))</f>
        <v/>
      </c>
      <c r="X248" s="458"/>
      <c r="Y248" s="458"/>
      <c r="Z248" s="459"/>
      <c r="AA248" s="457" t="str">
        <f>IF(AND(I51="ANO",DE132=7,DB132&lt;&gt;AA242,DB132&lt;&gt;AA243,DB132&lt;&gt;AA244,DB132&lt;&gt;AA245,DB132&lt;&gt;AA246,DB132&lt;&gt;AA247,BQ40=28),DB132,IF(AND(I51="ANO",DE143=8,DB143&lt;&gt;AA242,DB143&lt;&gt;AA243,DB143&lt;&gt;AA244,DB143&lt;&gt;AA245,DB143&lt;&gt;AA246,DB143&lt;&gt;AA247,BQ40=28),DB143,""))</f>
        <v/>
      </c>
      <c r="AB248" s="458"/>
      <c r="AC248" s="458"/>
      <c r="AD248" s="458"/>
      <c r="AE248" s="458"/>
      <c r="AF248" s="458"/>
      <c r="AG248" s="458"/>
      <c r="AH248" s="458"/>
      <c r="AI248" s="458"/>
      <c r="AJ248" s="458"/>
      <c r="AK248" s="459"/>
      <c r="AL248" s="455" t="e">
        <f t="shared" si="212"/>
        <v>#N/A</v>
      </c>
      <c r="AM248" s="456"/>
      <c r="AN248" s="36" t="str">
        <f>IF(AND(I51="ANO",BL38=4,CP61&gt;54),0,IF(AND(I51="ANO",BL38=3,BQ40=36,W248="49."),4,IF(AND(I51="ANO",BL38=3,BQ40=28,W248="49."),4,"")))</f>
        <v/>
      </c>
      <c r="AO248" s="167"/>
      <c r="AP248" s="182">
        <v>55</v>
      </c>
      <c r="AQ248"/>
      <c r="AR248" s="6"/>
      <c r="AS248" s="6"/>
      <c r="AT248" s="110" t="str">
        <f t="shared" si="214"/>
        <v/>
      </c>
      <c r="AU248" s="178" t="s">
        <v>129</v>
      </c>
      <c r="AV248" s="179" t="str">
        <f>IF(AND(I51="ANO",DE85=3,DB85&lt;&gt;G246,DB85&lt;&gt;G247,BQ40=28),DB85,IF(AND(I51="ANO",DE96=4,DB96&lt;&gt;G246,DB96&lt;&gt;G247,BQ40=28),DB96,IF(AND(I51="ANO",DE107=5,DB107&lt;&gt;G246,DB107&lt;&gt;G247,BQ40=28),DB107,IF(AND(I51="ANO",DE118=6,DB118&lt;&gt;G246,DB118&lt;&gt;G247,BQ40=28),DB118,IF(AND(I51="ANO",DE129=7,DB129&lt;&gt;G246,DB129&lt;&gt;G247,BQ40=28),DB129,IF(AND(I51="ANO",DE140=8,DB140&lt;&gt;G246,DB140&lt;&gt;G247,BQ40=28),DB140,IF(AND(I51="ANO",DG88=3,DB88&lt;&gt;G246,DB88&lt;&gt;G247,BQ40=24),DB88,IF(AND(I51="ANO",DG99=4,DB99&lt;&gt;G246,DB99&lt;&gt;G247,BQ40=24),DB99,IF(AND(I51="ANO",DG88=3,DB88&lt;&gt;G246,DB88&lt;&gt;G247,BQ40=34),DB88,IF(AND(I51="ANO",DG99=4,DB99&lt;&gt;G246,DB99&lt;&gt;G247,BQ40=34),DB99,IF(AND(I51="ANO",DG88=3,DB88&lt;&gt;G246,DB88&lt;&gt;G247,BQ40=44),DB88,IF(AND(I51="ANO",DG99=4,DB99&lt;&gt;G246,DB99&lt;&gt;G247,BQ40=44),DB99,IF(AND(I51="ANO",DE86=3,DB86&lt;&gt;G246,DB86&lt;&gt;G247,BQ40=36),DB86,IF(AND(I51="ANO",DE97=4,DB97&lt;&gt;G246,DB97&lt;&gt;G247,BQ40=36),DB97,IF(AND(I51="ANO",DE108=5,DB108&lt;&gt;G246,DB108&lt;&gt;G247,BQ40=36),DB108,IF(AND(I51="ANO",DE119=6,DB119&lt;&gt;G246,DB119&lt;&gt;G247,BQ40=36),DB119,""))))))))))))))))</f>
        <v/>
      </c>
      <c r="AW248" s="54"/>
      <c r="AX248" s="54"/>
      <c r="AY248" s="54"/>
      <c r="AZ248" s="54"/>
      <c r="BA248" s="54"/>
      <c r="BB248" s="54" t="b">
        <f>IF(AND(I51="ANO",DG88=3,DB88&lt;&gt;G246,DB88&lt;&gt;G247,BQ40=24),DB88,IF(AND(I51="ANO",DG99=4,DB99&lt;&gt;G246,DB99&lt;&gt;G247,BQ40=24),DB99))</f>
        <v>0</v>
      </c>
      <c r="BC248" s="54" t="b">
        <f>IF(AND(I51="ANO",DG88=3,DB88&lt;&gt;G246,DB88&lt;&gt;G247,BQ40=34),DB88,IF(AND(I51="ANO",DG99=4,DB99&lt;&gt;G246,DB99&lt;&gt;G247,BQ40=34),DB99))</f>
        <v>0</v>
      </c>
      <c r="BD248" s="54" t="b">
        <f>IF(AND(I51="ANO",DG88=3,DB88&lt;&gt;G246,DB88&lt;&gt;G247,BQ40=44),DB88,IF(AND(I51="ANO",DG99=4,DB99&lt;&gt;G246,DB99&lt;&gt;G247,BQ40=44),DB99))</f>
        <v>0</v>
      </c>
      <c r="BE248" s="54" t="b">
        <f>IF(AND(I51="ANO",DE86=3,DB86&lt;&gt;G246,DB86&lt;&gt;G247,BQ40=36),DB86,IF(AND(I51="ANO",DE97=4,DB97&lt;&gt;G246,DB97&lt;&gt;G247,BQ40=36),DB97,IF(AND(I51="ANO",DE108=5,DB108&lt;&gt;G246,DB108&lt;&gt;G247,BQ40=36),DB108,IF(AND(I51="ANO",DE119=6,DB119&lt;&gt;G246,DB119&lt;&gt;G247,BQ40=36),DB119))))</f>
        <v>0</v>
      </c>
      <c r="BF248" s="54" t="b">
        <f>IF(AND(I51="ANO",DE85=3,DB85&lt;&gt;G246,DB85&lt;&gt;G247,BQ40=28),DB85,IF(AND(I51="ANO",DE96=4,DB96&lt;&gt;G246,DB96&lt;&gt;G247,BQ40=28),DB96,IF(AND(I51="ANO",DE107=5,DB107&lt;&gt;G246,DB107&lt;&gt;G247,BQ40=28),DB107,IF(AND(I51="ANO",DE118=6,DB118&lt;&gt;G246,DB118&lt;&gt;G247,BQ40=28),DB118,IF(AND(I51="ANO",DE129=7,DB129&lt;&gt;G246,DB129&lt;&gt;G247,BQ40=28),DB129,IF(AND(I51="ANO",DE140=8,DB140&lt;&gt;G246,DB140&lt;&gt;G247,BQ40=28),DB140))))))</f>
        <v>0</v>
      </c>
      <c r="BH248" s="54" t="str">
        <f t="shared" si="213"/>
        <v/>
      </c>
      <c r="BI248" s="179" t="s">
        <v>130</v>
      </c>
      <c r="BJ248" s="179" t="str">
        <f>IF(AND(I51="ANO",DE132=7,DB132&lt;&gt;AA242,DB132&lt;&gt;AA243,DB132&lt;&gt;AA244,DB132&lt;&gt;AA245,DB132&lt;&gt;AA246,DB132&lt;&gt;AA247,BQ40=28),DB132,IF(AND(I51="ANO",DE143=8,DB143&lt;&gt;AA242,DB143&lt;&gt;AA243,DB143&lt;&gt;AA244,DB143&lt;&gt;AA245,DB143&lt;&gt;AA246,DB143&lt;&gt;AA247,BQ40=28),DB143,""))</f>
        <v/>
      </c>
      <c r="BK248" s="54"/>
      <c r="BL248" s="54"/>
      <c r="BM248" s="54"/>
      <c r="BN248" s="54"/>
      <c r="BO248" s="54"/>
      <c r="BP248" s="54"/>
      <c r="BQ248" s="54"/>
      <c r="BR248" s="54"/>
      <c r="BS248" s="54"/>
      <c r="BT248" s="54" t="str">
        <f>IF(AND(I51="ANO",DE132=7,DB132&lt;&gt;AA242,DB132&lt;&gt;AA243,DB132&lt;&gt;AA244,DB132&lt;&gt;AA245,DB132&lt;&gt;AA246,DB132&lt;&gt;AA247,BQ40=28),DB132,IF(AND(I51="ANO",DE143=8,DB143&lt;&gt;AA242,DB143&lt;&gt;AA243,DB143&lt;&gt;AA244,DB143&lt;&gt;AA245,DB143&lt;&gt;AA246,DB143&lt;&gt;AA247,BQ40=28),DB143,""))</f>
        <v/>
      </c>
      <c r="CA248" s="9"/>
      <c r="CB248" s="9"/>
      <c r="CC248" s="9"/>
      <c r="CD248" s="9"/>
      <c r="CE248" s="8"/>
      <c r="CF248" s="10"/>
      <c r="CG248" s="10"/>
      <c r="CH248" s="10"/>
      <c r="CK248" s="9"/>
      <c r="CL248" s="9"/>
      <c r="CM248" s="9"/>
      <c r="CN248" s="9"/>
      <c r="CO248" s="8"/>
      <c r="CP248" s="1"/>
      <c r="CU248"/>
      <c r="CV248"/>
      <c r="CW248"/>
      <c r="CX248"/>
      <c r="DB248" s="11"/>
      <c r="DC248" s="11"/>
      <c r="DD248" s="11"/>
      <c r="DE248" s="11"/>
    </row>
    <row r="249" spans="2:109" ht="19.5" customHeight="1" x14ac:dyDescent="0.4">
      <c r="B249" s="1"/>
      <c r="E249" s="181">
        <v>28</v>
      </c>
      <c r="F249" s="36" t="str">
        <f>IF(AND(I51="ANO",(CV40+CV42+CV44+CV46)&gt;27,BQ40=24),"25.",IF(AND(I51="ANO",(CV40+CV42+CV44+CV46)&gt;27,BQ40=34),"25.",IF(AND(I51="ANO",(CV40+CV42+CV44+CV46)&gt;27,BQ40=44),"25.",IF(AND(I51="ANO",(CV40+CV42+CV44+CV46+CX40+CX42)&gt;27,BQ40=36),"25.",IF(AND(I51="ANO",(CV40+CV42+CV44+CV46+CX40+CX42+CX44+CX46)&gt;27,BQ40=28),"25.",IF(AND(I51="ANO",(CV40+CV42+CV44+CV46+CX40+CX42+CX44+CX46)&gt;27,BQ40=38),"25.",IF(AND(I51="ANO",(CV40+CV42+CV44+CV46+CX40+CX42+CX44+CX46)&gt;27,BQ40=48),"25.","")))))))</f>
        <v/>
      </c>
      <c r="G249" s="457" t="str">
        <f t="shared" si="215"/>
        <v/>
      </c>
      <c r="H249" s="458"/>
      <c r="I249" s="458"/>
      <c r="J249" s="458"/>
      <c r="K249" s="459"/>
      <c r="L249" s="455" t="e">
        <f t="shared" si="210"/>
        <v>#N/A</v>
      </c>
      <c r="M249" s="460"/>
      <c r="N249" s="460"/>
      <c r="O249" s="456"/>
      <c r="P249" s="461" t="str">
        <f>IF(AND(I51="ANO",BL38=3,BQ40=24,CP61&gt;27),0,IF(AND(I51="ANO",BL38=3,BQ40=34,CP61&gt;27),0,IF(AND(I51="ANO",BL38=3,BQ40=44,CP61&gt;27),0,IF(AND(I51="ANO",BL38=4,CP61&gt;27),0,IF(AND(I51="ANO",BL38=3,BQ40=36,F249="25."),10,IF(AND(I51="ANO",BL38=3,BQ40=28,F249="25."),10,""))))))</f>
        <v/>
      </c>
      <c r="Q249" s="458"/>
      <c r="R249" s="459"/>
      <c r="S249" s="462"/>
      <c r="T249" s="463"/>
      <c r="U249" s="464"/>
      <c r="V249" s="132"/>
      <c r="W249" s="457" t="str">
        <f>IF(AND(I51="ANO",(CV40+CV42+CV44+CV46+CX40+CX42+CX44+CX46)&gt;55,BQ40=28),"49.",IF(AND(I51="ANO",(CV40+CV42+CV44+CV46+CX40+CX42+CX44+CX46)&gt;55,BQ40=38),"49.",IF(AND(I51="ANO",(CV40+CV42+CV44+CV46+CX40+CX42+CX44+CX46)&gt;55,BQ40=48),"49.","")))</f>
        <v/>
      </c>
      <c r="X249" s="458"/>
      <c r="Y249" s="458"/>
      <c r="Z249" s="459"/>
      <c r="AA249" s="457" t="str">
        <f>IF(AND(I51="ANO",DE143=8,DB143&lt;&gt;AA242,DB143&lt;&gt;AA243,DB143&lt;&gt;AA244,DB143&lt;&gt;AA245,DB143&lt;&gt;AA246,DB143&lt;&gt;AA247,DB143&lt;&gt;AA248,BQ40=28),DB143,"")</f>
        <v/>
      </c>
      <c r="AB249" s="458"/>
      <c r="AC249" s="458"/>
      <c r="AD249" s="458"/>
      <c r="AE249" s="458"/>
      <c r="AF249" s="458"/>
      <c r="AG249" s="458"/>
      <c r="AH249" s="458"/>
      <c r="AI249" s="458"/>
      <c r="AJ249" s="458"/>
      <c r="AK249" s="459"/>
      <c r="AL249" s="455" t="e">
        <f t="shared" si="212"/>
        <v>#N/A</v>
      </c>
      <c r="AM249" s="456"/>
      <c r="AN249" s="36" t="str">
        <f>IF(AND(I51="ANO",BL38=4,CP61&gt;55),0,IF(AND(I51="ANO",BL38=3,BQ40=36,W249="49."),4,IF(AND(I51="ANO",BL38=3,BQ40=28,W249="49."),4,"")))</f>
        <v/>
      </c>
      <c r="AO249" s="167"/>
      <c r="AP249" s="182">
        <v>56</v>
      </c>
      <c r="AQ249" s="121"/>
      <c r="AR249" s="6"/>
      <c r="AS249" s="6"/>
      <c r="AT249" s="110" t="str">
        <f t="shared" si="214"/>
        <v/>
      </c>
      <c r="AU249" s="178" t="s">
        <v>132</v>
      </c>
      <c r="AV249" s="179" t="str">
        <f>IF(AND(I51="ANO",DE96=4,DB96&lt;&gt;G246,DB96&lt;&gt;G247,DB96&lt;&gt;G248,BQ40=28),DB96,IF(AND(I51="ANO",DE107=5,DB107&lt;&gt;G246,DB107&lt;&gt;G247,DB107&lt;&gt;G248,BQ40=28),DB107,IF(AND(I51="ANO",DE118=6,DB118&lt;&gt;G246,DB118&lt;&gt;G247,DB118&lt;&gt;G248,BQ40=28),DB118,IF(AND(I51="ANO",DE129=7,DB129&lt;&gt;G246,DB129&lt;&gt;G247,DB129&lt;&gt;G248,BQ40=28),DB129,IF(AND(I51="ANO",DE140=8,DB140&lt;&gt;G246,DB140&lt;&gt;G247,DB140&lt;&gt;G248,BQ40=28),DB140,IF(AND(I51="ANO",DG99=4,DB99&lt;&gt;G246,DB99&lt;&gt;G247,DB99&lt;&gt;G248,BQ40=24),DB99,IF(AND(I51="ANO",DG99=4,DB99&lt;&gt;G246,DB99&lt;&gt;G247,DB99&lt;&gt;G248,BQ40=34),DB99,IF(AND(I51="ANO",DG99=4,DB99&lt;&gt;G246,DB99&lt;&gt;G247,DB99&lt;&gt;G248,BQ40=44),DB99,IF(AND(I51="ANO",DE97=4,DB97&lt;&gt;G246,DB97&lt;&gt;G247,DB97&lt;&gt;G248,BQ40=36),DB97,IF(AND(I51="ANO",DE108=5,DB108&lt;&gt;G246,DB108&lt;&gt;G247,DB108&lt;&gt;G248,BQ40=36),DB108,IF(AND(I51="ANO",DE119=6,DB119&lt;&gt;G246,DB119&lt;&gt;G247,DB119&lt;&gt;G248,BQ40=36),DB119,"")))))))))))</f>
        <v/>
      </c>
      <c r="AW249" s="54"/>
      <c r="AX249" s="54"/>
      <c r="AY249" s="54"/>
      <c r="AZ249" s="54"/>
      <c r="BA249" s="54"/>
      <c r="BB249" s="54" t="b">
        <f>IF(AND(I51="ANO",DG99=4,DB99&lt;&gt;G246,DB99&lt;&gt;G247,DB99&lt;&gt;G248,BQ40=24),DB99)</f>
        <v>0</v>
      </c>
      <c r="BC249" s="54" t="b">
        <f>IF(AND(I51="ANO",DG99=4,DB99&lt;&gt;G246,DB99&lt;&gt;G247,DB99&lt;&gt;G248,BQ40=34),DB99)</f>
        <v>0</v>
      </c>
      <c r="BD249" s="54" t="b">
        <f>IF(AND(I51="ANO",DG99=4,DB99&lt;&gt;G246,DB99&lt;&gt;G247,DB99&lt;&gt;G248,BQ40=44),DB99)</f>
        <v>0</v>
      </c>
      <c r="BE249" s="54" t="b">
        <f>IF(AND(I51="ANO",DE97=4,DB97&lt;&gt;G246,DB97&lt;&gt;G247,DB97&lt;&gt;G248,BQ40=36),DB97,IF(AND(I51="ANO",DE108=5,DB108&lt;&gt;G246,DB108&lt;&gt;G247,DB108&lt;&gt;G248,BQ40=36),DB108,IF(AND(I51="ANO",DE119=6,DB119&lt;&gt;G246,DB119&lt;&gt;G247,DB119&lt;&gt;G248,BQ40=36),DB119)))</f>
        <v>0</v>
      </c>
      <c r="BF249" s="54" t="b">
        <f>IF(AND(I51="ANO",DE96=4,DB96&lt;&gt;G246,DB96&lt;&gt;G247,DB96&lt;&gt;G248,BQ40=28),DB96,IF(AND(I51="ANO",DE107=5,DB107&lt;&gt;G246,DB107&lt;&gt;G247,DB107&lt;&gt;G248,BQ40=28),DB107,IF(AND(I51="ANO",DE118=6,DB118&lt;&gt;G246,DB118&lt;&gt;G247,DB118&lt;&gt;G248,BQ40=28),DB118,IF(AND(I51="ANO",DE129=7,DB129&lt;&gt;G246,DB129&lt;&gt;G247,DB129&lt;&gt;G248,BQ40=28),DB129,IF(AND(I51="ANO",DE140=8,DB140&lt;&gt;G246,DB140&lt;&gt;G247,DB140&lt;&gt;G248,BQ40=28),DB140)))))</f>
        <v>0</v>
      </c>
      <c r="BH249" s="54" t="str">
        <f t="shared" si="213"/>
        <v/>
      </c>
      <c r="BI249" s="179" t="s">
        <v>133</v>
      </c>
      <c r="BJ249" s="179" t="str">
        <f>IF(AND(I51="ANO",DE143=8,DB143&lt;&gt;AA242,DB143&lt;&gt;AA243,DB143&lt;&gt;AA244,DB143&lt;&gt;AA245,DB143&lt;&gt;AA246,DB143&lt;&gt;AA247,DB143&lt;&gt;AA248,BQ40=28),DB143,"")</f>
        <v/>
      </c>
      <c r="BK249" s="54"/>
      <c r="BL249" s="54"/>
      <c r="BM249" s="54"/>
      <c r="BN249" s="54"/>
      <c r="BO249" s="54"/>
      <c r="BP249" s="54"/>
      <c r="BQ249" s="54"/>
      <c r="BR249" s="54"/>
      <c r="BS249" s="54"/>
      <c r="BT249" s="54" t="str">
        <f>IF(AND(I51="ANO",DE143=8,DB143&lt;&gt;AA242,DB143&lt;&gt;AA243,DB143&lt;&gt;AA244,DB143&lt;&gt;AA245,DB143&lt;&gt;AA246,DB143&lt;&gt;AA247,DB143&lt;&gt;AA248,BQ40=28),DB143,"")</f>
        <v/>
      </c>
      <c r="CA249" s="9"/>
      <c r="CB249" s="9"/>
      <c r="CC249" s="9"/>
      <c r="CD249" s="9"/>
      <c r="CE249" s="8"/>
      <c r="CF249" s="10"/>
      <c r="CG249" s="10"/>
      <c r="CH249" s="10"/>
      <c r="CK249" s="9"/>
      <c r="CL249" s="9"/>
      <c r="CM249" s="9"/>
      <c r="CN249" s="9"/>
      <c r="CO249" s="8"/>
      <c r="CP249" s="1"/>
      <c r="CU249"/>
      <c r="CV249"/>
      <c r="CW249"/>
      <c r="CX249"/>
      <c r="DB249" s="11"/>
      <c r="DC249" s="11"/>
      <c r="DD249" s="11"/>
      <c r="DE249" s="11"/>
    </row>
    <row r="250" spans="2:109" ht="19.5" customHeight="1" x14ac:dyDescent="0.4">
      <c r="B250" s="1"/>
      <c r="F250"/>
      <c r="G250" s="278"/>
      <c r="H250" s="278"/>
      <c r="I250" s="278"/>
      <c r="J250" s="278"/>
      <c r="K250" s="278"/>
      <c r="L250" s="278"/>
      <c r="M250" s="278"/>
      <c r="N250" s="278"/>
      <c r="O250" s="278"/>
      <c r="P250" s="454"/>
      <c r="Q250" s="278"/>
      <c r="R250" s="278"/>
      <c r="S250" s="454"/>
      <c r="T250" s="278"/>
      <c r="U250" s="278"/>
      <c r="W250" s="278"/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1"/>
      <c r="AO250" s="1"/>
      <c r="AP250" s="1"/>
      <c r="AQ250" s="1"/>
      <c r="AR250" s="6"/>
      <c r="AS250" s="6"/>
      <c r="AT250" s="7"/>
      <c r="AU250" s="8"/>
      <c r="AV250" s="8"/>
      <c r="AW250" s="9"/>
      <c r="AY250" s="10"/>
      <c r="AZ250" s="10"/>
      <c r="BA250" s="10"/>
      <c r="BB250" s="10"/>
      <c r="BP250" s="9"/>
      <c r="BT250" s="10"/>
      <c r="CA250" s="9"/>
      <c r="CB250" s="9"/>
      <c r="CC250" s="9"/>
      <c r="CD250" s="9"/>
      <c r="CE250" s="8"/>
      <c r="CF250" s="10"/>
      <c r="CG250" s="10"/>
      <c r="CH250" s="10"/>
      <c r="CK250" s="9"/>
      <c r="CL250" s="9"/>
      <c r="CM250" s="9"/>
      <c r="CN250" s="9"/>
      <c r="CO250" s="8"/>
      <c r="CP250" s="1"/>
      <c r="CU250"/>
      <c r="CV250"/>
      <c r="CW250"/>
      <c r="CX250"/>
      <c r="DB250" s="11"/>
      <c r="DC250" s="11"/>
      <c r="DD250" s="11"/>
      <c r="DE250" s="11"/>
    </row>
    <row r="251" spans="2:109" s="183" customFormat="1" ht="18.75" customHeight="1" x14ac:dyDescent="0.5">
      <c r="D251" s="465" t="s">
        <v>264</v>
      </c>
      <c r="E251" s="465"/>
      <c r="F251" s="466" t="s">
        <v>283</v>
      </c>
      <c r="G251" s="466"/>
      <c r="H251" s="466"/>
      <c r="I251" s="466"/>
      <c r="J251" s="466"/>
      <c r="K251" s="466"/>
      <c r="L251" s="466"/>
      <c r="M251" s="466"/>
      <c r="N251" s="466"/>
      <c r="O251" s="466"/>
      <c r="P251" s="466"/>
      <c r="Q251" s="466"/>
      <c r="R251" s="466"/>
      <c r="S251" s="466"/>
      <c r="T251" s="466"/>
      <c r="U251" s="466"/>
      <c r="V251" s="466"/>
      <c r="W251" s="466"/>
      <c r="X251" s="466"/>
      <c r="Y251" s="466"/>
      <c r="Z251" s="466"/>
      <c r="AA251" s="466"/>
      <c r="AB251" s="466"/>
      <c r="AC251" s="466"/>
      <c r="AD251" s="466"/>
      <c r="AE251" s="466"/>
      <c r="AF251" s="466"/>
      <c r="AG251" s="466"/>
      <c r="AH251" s="466"/>
      <c r="AI251" s="466"/>
      <c r="AJ251" s="466"/>
      <c r="AK251" s="466"/>
      <c r="AL251" s="466"/>
      <c r="AM251" s="466"/>
      <c r="AN251" s="466"/>
      <c r="AO251" s="466"/>
      <c r="AP251" s="184"/>
      <c r="AQ251" s="185"/>
      <c r="AR251" s="185"/>
      <c r="AS251" s="186"/>
      <c r="AT251" s="105"/>
      <c r="AU251" s="105"/>
      <c r="AV251" s="105"/>
      <c r="AW251" s="105"/>
      <c r="AX251" s="105"/>
      <c r="AY251" s="186"/>
      <c r="AZ251" s="186"/>
      <c r="BA251" s="186"/>
      <c r="BB251" s="186"/>
      <c r="BC251" s="186"/>
      <c r="BD251" s="186"/>
      <c r="BE251" s="186"/>
      <c r="BF251" s="186"/>
      <c r="BG251" s="186"/>
      <c r="BH251" s="186"/>
      <c r="BI251" s="186"/>
      <c r="BJ251" s="186"/>
      <c r="BK251" s="186"/>
      <c r="BL251" s="186"/>
      <c r="BM251" s="186"/>
      <c r="BN251" s="186"/>
      <c r="BO251" s="186"/>
      <c r="BP251" s="105"/>
      <c r="BQ251" s="186"/>
      <c r="BR251" s="186"/>
      <c r="BS251" s="186"/>
      <c r="BT251" s="186"/>
      <c r="BU251" s="186"/>
      <c r="BV251" s="186"/>
      <c r="BW251" s="186"/>
      <c r="BX251" s="186"/>
      <c r="BY251" s="186"/>
      <c r="BZ251" s="186"/>
      <c r="CA251" s="185"/>
      <c r="CB251" s="105"/>
      <c r="CC251" s="105"/>
      <c r="CD251" s="105"/>
      <c r="CE251" s="186"/>
      <c r="CF251" s="186"/>
      <c r="CG251" s="186"/>
      <c r="CH251" s="186"/>
      <c r="CI251" s="186"/>
      <c r="CJ251" s="186"/>
      <c r="CK251" s="185"/>
      <c r="CM251" s="187"/>
      <c r="CN251" s="187"/>
      <c r="CO251" s="187"/>
      <c r="CP251" s="187"/>
      <c r="CQ251" s="187"/>
      <c r="CR251" s="187"/>
      <c r="CS251" s="187"/>
      <c r="CT251" s="187"/>
      <c r="CU251" s="188"/>
      <c r="CV251" s="188"/>
      <c r="CW251" s="188"/>
      <c r="CX251" s="188"/>
      <c r="CY251" s="188"/>
      <c r="CZ251" s="188"/>
      <c r="DA251" s="188"/>
    </row>
    <row r="252" spans="2:109" ht="18.75" customHeight="1" x14ac:dyDescent="0.4">
      <c r="D252" s="465"/>
      <c r="E252" s="465"/>
      <c r="F252" s="466"/>
      <c r="G252" s="466"/>
      <c r="H252" s="466"/>
      <c r="I252" s="466"/>
      <c r="J252" s="466"/>
      <c r="K252" s="466"/>
      <c r="L252" s="466"/>
      <c r="M252" s="466"/>
      <c r="N252" s="466"/>
      <c r="O252" s="4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  <c r="AE252" s="466"/>
      <c r="AF252" s="466"/>
      <c r="AG252" s="466"/>
      <c r="AH252" s="466"/>
      <c r="AI252" s="466"/>
      <c r="AJ252" s="466"/>
      <c r="AK252" s="466"/>
      <c r="AL252" s="466"/>
      <c r="AM252" s="466"/>
      <c r="AN252" s="466"/>
      <c r="AO252" s="466"/>
    </row>
    <row r="253" spans="2:109" ht="18.75" customHeight="1" x14ac:dyDescent="0.4">
      <c r="D253" s="190"/>
      <c r="E253" s="190"/>
      <c r="F253" s="466"/>
      <c r="G253" s="466"/>
      <c r="H253" s="466"/>
      <c r="I253" s="466"/>
      <c r="J253" s="466"/>
      <c r="K253" s="466"/>
      <c r="L253" s="466"/>
      <c r="M253" s="466"/>
      <c r="N253" s="466"/>
      <c r="O253" s="466"/>
      <c r="P253" s="466"/>
      <c r="Q253" s="466"/>
      <c r="R253" s="466"/>
      <c r="S253" s="466"/>
      <c r="T253" s="466"/>
      <c r="U253" s="466"/>
      <c r="V253" s="466"/>
      <c r="W253" s="466"/>
      <c r="X253" s="466"/>
      <c r="Y253" s="466"/>
      <c r="Z253" s="466"/>
      <c r="AA253" s="466"/>
      <c r="AB253" s="466"/>
      <c r="AC253" s="466"/>
      <c r="AD253" s="466"/>
      <c r="AE253" s="466"/>
      <c r="AF253" s="466"/>
      <c r="AG253" s="466"/>
      <c r="AH253" s="466"/>
      <c r="AI253" s="466"/>
      <c r="AJ253" s="466"/>
      <c r="AK253" s="466"/>
      <c r="AL253" s="466"/>
      <c r="AM253" s="466"/>
      <c r="AN253" s="466"/>
      <c r="AO253" s="466"/>
    </row>
    <row r="254" spans="2:109" ht="18.75" customHeight="1" x14ac:dyDescent="0.4">
      <c r="E254" s="189"/>
      <c r="F254" s="466"/>
      <c r="G254" s="466"/>
      <c r="H254" s="466"/>
      <c r="I254" s="466"/>
      <c r="J254" s="466"/>
      <c r="K254" s="466"/>
      <c r="L254" s="466"/>
      <c r="M254" s="466"/>
      <c r="N254" s="466"/>
      <c r="O254" s="466"/>
      <c r="P254" s="466"/>
      <c r="Q254" s="466"/>
      <c r="R254" s="466"/>
      <c r="S254" s="466"/>
      <c r="T254" s="466"/>
      <c r="U254" s="466"/>
      <c r="V254" s="466"/>
      <c r="W254" s="466"/>
      <c r="X254" s="466"/>
      <c r="Y254" s="466"/>
      <c r="Z254" s="466"/>
      <c r="AA254" s="466"/>
      <c r="AB254" s="466"/>
      <c r="AC254" s="466"/>
      <c r="AD254" s="466"/>
      <c r="AE254" s="466"/>
      <c r="AF254" s="466"/>
      <c r="AG254" s="466"/>
      <c r="AH254" s="466"/>
      <c r="AI254" s="466"/>
      <c r="AJ254" s="466"/>
      <c r="AK254" s="466"/>
      <c r="AL254" s="466"/>
      <c r="AM254" s="466"/>
      <c r="AN254" s="466"/>
      <c r="AO254" s="466"/>
    </row>
    <row r="255" spans="2:109" ht="18.75" customHeight="1" x14ac:dyDescent="0.4">
      <c r="F255" s="466"/>
      <c r="G255" s="466"/>
      <c r="H255" s="466"/>
      <c r="I255" s="466"/>
      <c r="J255" s="466"/>
      <c r="K255" s="466"/>
      <c r="L255" s="466"/>
      <c r="M255" s="466"/>
      <c r="N255" s="466"/>
      <c r="O255" s="466"/>
      <c r="P255" s="466"/>
      <c r="Q255" s="466"/>
      <c r="R255" s="466"/>
      <c r="S255" s="466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6"/>
      <c r="AE255" s="466"/>
      <c r="AF255" s="466"/>
      <c r="AG255" s="466"/>
      <c r="AH255" s="466"/>
      <c r="AI255" s="466"/>
      <c r="AJ255" s="466"/>
      <c r="AK255" s="466"/>
      <c r="AL255" s="466"/>
      <c r="AM255" s="466"/>
      <c r="AN255" s="466"/>
      <c r="AO255" s="466"/>
    </row>
    <row r="256" spans="2:109" ht="18.75" customHeight="1" x14ac:dyDescent="0.4">
      <c r="F256" s="466"/>
      <c r="G256" s="466"/>
      <c r="H256" s="466"/>
      <c r="I256" s="466"/>
      <c r="J256" s="466"/>
      <c r="K256" s="466"/>
      <c r="L256" s="466"/>
      <c r="M256" s="466"/>
      <c r="N256" s="466"/>
      <c r="O256" s="466"/>
      <c r="P256" s="466"/>
      <c r="Q256" s="466"/>
      <c r="R256" s="466"/>
      <c r="S256" s="466"/>
      <c r="T256" s="466"/>
      <c r="U256" s="466"/>
      <c r="V256" s="466"/>
      <c r="W256" s="466"/>
      <c r="X256" s="466"/>
      <c r="Y256" s="466"/>
      <c r="Z256" s="466"/>
      <c r="AA256" s="466"/>
      <c r="AB256" s="466"/>
      <c r="AC256" s="466"/>
      <c r="AD256" s="466"/>
      <c r="AE256" s="466"/>
      <c r="AF256" s="466"/>
      <c r="AG256" s="466"/>
      <c r="AH256" s="466"/>
      <c r="AI256" s="466"/>
      <c r="AJ256" s="466"/>
      <c r="AK256" s="466"/>
      <c r="AL256" s="466"/>
      <c r="AM256" s="466"/>
      <c r="AN256" s="466"/>
      <c r="AO256" s="466"/>
    </row>
    <row r="257" spans="6:41" ht="18.75" customHeight="1" x14ac:dyDescent="0.4">
      <c r="F257" s="466"/>
      <c r="G257" s="466"/>
      <c r="H257" s="466"/>
      <c r="I257" s="466"/>
      <c r="J257" s="466"/>
      <c r="K257" s="466"/>
      <c r="L257" s="466"/>
      <c r="M257" s="466"/>
      <c r="N257" s="466"/>
      <c r="O257" s="466"/>
      <c r="P257" s="466"/>
      <c r="Q257" s="466"/>
      <c r="R257" s="466"/>
      <c r="S257" s="466"/>
      <c r="T257" s="466"/>
      <c r="U257" s="466"/>
      <c r="V257" s="466"/>
      <c r="W257" s="466"/>
      <c r="X257" s="466"/>
      <c r="Y257" s="466"/>
      <c r="Z257" s="466"/>
      <c r="AA257" s="466"/>
      <c r="AB257" s="466"/>
      <c r="AC257" s="466"/>
      <c r="AD257" s="466"/>
      <c r="AE257" s="466"/>
      <c r="AF257" s="466"/>
      <c r="AG257" s="466"/>
      <c r="AH257" s="466"/>
      <c r="AI257" s="466"/>
      <c r="AJ257" s="466"/>
      <c r="AK257" s="466"/>
      <c r="AL257" s="466"/>
      <c r="AM257" s="466"/>
      <c r="AN257" s="466"/>
      <c r="AO257" s="466"/>
    </row>
    <row r="258" spans="6:41" ht="18.75" customHeight="1" x14ac:dyDescent="0.4">
      <c r="F258" s="466"/>
      <c r="G258" s="466"/>
      <c r="H258" s="466"/>
      <c r="I258" s="466"/>
      <c r="J258" s="466"/>
      <c r="K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6"/>
      <c r="AO258" s="466"/>
    </row>
    <row r="259" spans="6:41" ht="18.649999999999999" customHeight="1" x14ac:dyDescent="0.4">
      <c r="F259" s="466"/>
      <c r="G259" s="466"/>
      <c r="H259" s="466"/>
      <c r="I259" s="466"/>
      <c r="J259" s="466"/>
      <c r="K259" s="466"/>
      <c r="L259" s="466"/>
      <c r="M259" s="466"/>
      <c r="N259" s="466"/>
      <c r="O259" s="466"/>
      <c r="P259" s="466"/>
      <c r="Q259" s="466"/>
      <c r="R259" s="466"/>
      <c r="S259" s="466"/>
      <c r="T259" s="466"/>
      <c r="U259" s="466"/>
      <c r="V259" s="466"/>
      <c r="W259" s="466"/>
      <c r="X259" s="466"/>
      <c r="Y259" s="466"/>
      <c r="Z259" s="466"/>
      <c r="AA259" s="466"/>
      <c r="AB259" s="466"/>
      <c r="AC259" s="466"/>
      <c r="AD259" s="466"/>
      <c r="AE259" s="466"/>
      <c r="AF259" s="466"/>
      <c r="AG259" s="466"/>
      <c r="AH259" s="466"/>
      <c r="AI259" s="466"/>
      <c r="AJ259" s="466"/>
      <c r="AK259" s="466"/>
      <c r="AL259" s="466"/>
      <c r="AM259" s="466"/>
      <c r="AN259" s="466"/>
      <c r="AO259" s="466"/>
    </row>
    <row r="260" spans="6:41" ht="18.649999999999999" customHeight="1" x14ac:dyDescent="0.4">
      <c r="F260" s="466"/>
      <c r="G260" s="466"/>
      <c r="H260" s="466"/>
      <c r="I260" s="466"/>
      <c r="J260" s="466"/>
      <c r="K260" s="466"/>
      <c r="L260" s="466"/>
      <c r="M260" s="466"/>
      <c r="N260" s="466"/>
      <c r="O260" s="466"/>
      <c r="P260" s="466"/>
      <c r="Q260" s="466"/>
      <c r="R260" s="466"/>
      <c r="S260" s="466"/>
      <c r="T260" s="466"/>
      <c r="U260" s="466"/>
      <c r="V260" s="466"/>
      <c r="W260" s="466"/>
      <c r="X260" s="466"/>
      <c r="Y260" s="466"/>
      <c r="Z260" s="466"/>
      <c r="AA260" s="466"/>
      <c r="AB260" s="466"/>
      <c r="AC260" s="466"/>
      <c r="AD260" s="466"/>
      <c r="AE260" s="466"/>
      <c r="AF260" s="466"/>
      <c r="AG260" s="466"/>
      <c r="AH260" s="466"/>
      <c r="AI260" s="466"/>
      <c r="AJ260" s="466"/>
      <c r="AK260" s="466"/>
      <c r="AL260" s="466"/>
      <c r="AM260" s="466"/>
      <c r="AN260" s="466"/>
      <c r="AO260" s="466"/>
    </row>
    <row r="261" spans="6:41" ht="18.649999999999999" customHeight="1" x14ac:dyDescent="0.4">
      <c r="F261" s="466"/>
      <c r="G261" s="466"/>
      <c r="H261" s="466"/>
      <c r="I261" s="466"/>
      <c r="J261" s="466"/>
      <c r="K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6"/>
      <c r="AO261" s="466"/>
    </row>
    <row r="262" spans="6:41" ht="18.649999999999999" customHeight="1" x14ac:dyDescent="0.4">
      <c r="F262" s="466"/>
      <c r="G262" s="466"/>
      <c r="H262" s="466"/>
      <c r="I262" s="466"/>
      <c r="J262" s="466"/>
      <c r="K262" s="466"/>
      <c r="L262" s="466"/>
      <c r="M262" s="466"/>
      <c r="N262" s="466"/>
      <c r="O262" s="466"/>
      <c r="P262" s="466"/>
      <c r="Q262" s="466"/>
      <c r="R262" s="466"/>
      <c r="S262" s="466"/>
      <c r="T262" s="466"/>
      <c r="U262" s="466"/>
      <c r="V262" s="466"/>
      <c r="W262" s="466"/>
      <c r="X262" s="466"/>
      <c r="Y262" s="466"/>
      <c r="Z262" s="466"/>
      <c r="AA262" s="466"/>
      <c r="AB262" s="466"/>
      <c r="AC262" s="466"/>
      <c r="AD262" s="466"/>
      <c r="AE262" s="466"/>
      <c r="AF262" s="466"/>
      <c r="AG262" s="466"/>
      <c r="AH262" s="466"/>
      <c r="AI262" s="466"/>
      <c r="AJ262" s="466"/>
      <c r="AK262" s="466"/>
      <c r="AL262" s="466"/>
      <c r="AM262" s="466"/>
      <c r="AN262" s="466"/>
      <c r="AO262" s="466"/>
    </row>
    <row r="263" spans="6:41" ht="18.649999999999999" customHeight="1" x14ac:dyDescent="0.4">
      <c r="F263" s="466"/>
      <c r="G263" s="466"/>
      <c r="H263" s="466"/>
      <c r="I263" s="466"/>
      <c r="J263" s="466"/>
      <c r="K263" s="466"/>
      <c r="L263" s="466"/>
      <c r="M263" s="466"/>
      <c r="N263" s="466"/>
      <c r="O263" s="466"/>
      <c r="P263" s="466"/>
      <c r="Q263" s="466"/>
      <c r="R263" s="466"/>
      <c r="S263" s="466"/>
      <c r="T263" s="466"/>
      <c r="U263" s="466"/>
      <c r="V263" s="466"/>
      <c r="W263" s="466"/>
      <c r="X263" s="466"/>
      <c r="Y263" s="466"/>
      <c r="Z263" s="466"/>
      <c r="AA263" s="466"/>
      <c r="AB263" s="466"/>
      <c r="AC263" s="466"/>
      <c r="AD263" s="466"/>
      <c r="AE263" s="466"/>
      <c r="AF263" s="466"/>
      <c r="AG263" s="466"/>
      <c r="AH263" s="466"/>
      <c r="AI263" s="466"/>
      <c r="AJ263" s="466"/>
      <c r="AK263" s="466"/>
      <c r="AL263" s="466"/>
      <c r="AM263" s="466"/>
      <c r="AN263" s="466"/>
      <c r="AO263" s="466"/>
    </row>
    <row r="264" spans="6:41" ht="18.649999999999999" customHeight="1" x14ac:dyDescent="0.4">
      <c r="F264" s="466"/>
      <c r="G264" s="466"/>
      <c r="H264" s="466"/>
      <c r="I264" s="466"/>
      <c r="J264" s="466"/>
      <c r="K264" s="466"/>
      <c r="L264" s="466"/>
      <c r="M264" s="466"/>
      <c r="N264" s="466"/>
      <c r="O264" s="466"/>
      <c r="P264" s="466"/>
      <c r="Q264" s="466"/>
      <c r="R264" s="466"/>
      <c r="S264" s="466"/>
      <c r="T264" s="466"/>
      <c r="U264" s="466"/>
      <c r="V264" s="466"/>
      <c r="W264" s="466"/>
      <c r="X264" s="466"/>
      <c r="Y264" s="466"/>
      <c r="Z264" s="466"/>
      <c r="AA264" s="466"/>
      <c r="AB264" s="466"/>
      <c r="AC264" s="466"/>
      <c r="AD264" s="466"/>
      <c r="AE264" s="466"/>
      <c r="AF264" s="466"/>
      <c r="AG264" s="466"/>
      <c r="AH264" s="466"/>
      <c r="AI264" s="466"/>
      <c r="AJ264" s="466"/>
      <c r="AK264" s="466"/>
      <c r="AL264" s="466"/>
      <c r="AM264" s="466"/>
      <c r="AN264" s="466"/>
      <c r="AO264" s="466"/>
    </row>
  </sheetData>
  <sheetProtection algorithmName="SHA-512" hashValue="vZp0e834ayQZKebAHi8PKXJaWo5+UTzgJ6of+A6yW5MHbzhl+N68nyJTZb+H8WSW8SQQCLjttbbsHzPI/Csj1w==" saltValue="wF1fmkLE8nOC4ZmlaCTWYw==" spinCount="100000" sheet="1" objects="1" scenarios="1" selectLockedCells="1"/>
  <mergeCells count="808">
    <mergeCell ref="AL250:AM250"/>
    <mergeCell ref="D251:E252"/>
    <mergeCell ref="F251:AO264"/>
    <mergeCell ref="G250:K250"/>
    <mergeCell ref="L250:O250"/>
    <mergeCell ref="P250:R250"/>
    <mergeCell ref="S250:U250"/>
    <mergeCell ref="W250:Z250"/>
    <mergeCell ref="AA250:AK250"/>
    <mergeCell ref="AL248:AM248"/>
    <mergeCell ref="G249:K249"/>
    <mergeCell ref="L249:O249"/>
    <mergeCell ref="P249:R249"/>
    <mergeCell ref="S249:U249"/>
    <mergeCell ref="W249:Z249"/>
    <mergeCell ref="AA249:AK249"/>
    <mergeCell ref="AL249:AM249"/>
    <mergeCell ref="G248:K248"/>
    <mergeCell ref="L248:O248"/>
    <mergeCell ref="P248:R248"/>
    <mergeCell ref="S248:U248"/>
    <mergeCell ref="W248:Z248"/>
    <mergeCell ref="AA248:AK248"/>
    <mergeCell ref="AL246:AM246"/>
    <mergeCell ref="G247:K247"/>
    <mergeCell ref="L247:O247"/>
    <mergeCell ref="P247:R247"/>
    <mergeCell ref="S247:U247"/>
    <mergeCell ref="W247:Z247"/>
    <mergeCell ref="AA247:AK247"/>
    <mergeCell ref="AL247:AM247"/>
    <mergeCell ref="G246:K246"/>
    <mergeCell ref="L246:O246"/>
    <mergeCell ref="P246:R246"/>
    <mergeCell ref="S246:U246"/>
    <mergeCell ref="W246:Z246"/>
    <mergeCell ref="AA246:AK246"/>
    <mergeCell ref="AL244:AM244"/>
    <mergeCell ref="G245:K245"/>
    <mergeCell ref="L245:O245"/>
    <mergeCell ref="P245:R245"/>
    <mergeCell ref="S245:U245"/>
    <mergeCell ref="W245:Z245"/>
    <mergeCell ref="AA245:AK245"/>
    <mergeCell ref="AL245:AM245"/>
    <mergeCell ref="G244:K244"/>
    <mergeCell ref="L244:O244"/>
    <mergeCell ref="P244:R244"/>
    <mergeCell ref="S244:U244"/>
    <mergeCell ref="W244:Z244"/>
    <mergeCell ref="AA244:AK244"/>
    <mergeCell ref="AL242:AM242"/>
    <mergeCell ref="G243:K243"/>
    <mergeCell ref="L243:O243"/>
    <mergeCell ref="P243:R243"/>
    <mergeCell ref="S243:U243"/>
    <mergeCell ref="W243:Z243"/>
    <mergeCell ref="AA243:AK243"/>
    <mergeCell ref="AL243:AM243"/>
    <mergeCell ref="G242:K242"/>
    <mergeCell ref="L242:O242"/>
    <mergeCell ref="P242:R242"/>
    <mergeCell ref="S242:U242"/>
    <mergeCell ref="W242:Z242"/>
    <mergeCell ref="AA242:AK242"/>
    <mergeCell ref="AL240:AM240"/>
    <mergeCell ref="G241:K241"/>
    <mergeCell ref="L241:O241"/>
    <mergeCell ref="P241:R241"/>
    <mergeCell ref="S241:U241"/>
    <mergeCell ref="W241:Z241"/>
    <mergeCell ref="AA241:AK241"/>
    <mergeCell ref="AL241:AM241"/>
    <mergeCell ref="G240:K240"/>
    <mergeCell ref="L240:O240"/>
    <mergeCell ref="P240:R240"/>
    <mergeCell ref="S240:U240"/>
    <mergeCell ref="W240:Z240"/>
    <mergeCell ref="AA240:AK240"/>
    <mergeCell ref="AL238:AM238"/>
    <mergeCell ref="G239:K239"/>
    <mergeCell ref="L239:O239"/>
    <mergeCell ref="P239:R239"/>
    <mergeCell ref="S239:U239"/>
    <mergeCell ref="W239:Z239"/>
    <mergeCell ref="AA239:AK239"/>
    <mergeCell ref="AL239:AM239"/>
    <mergeCell ref="G238:K238"/>
    <mergeCell ref="L238:O238"/>
    <mergeCell ref="P238:R238"/>
    <mergeCell ref="S238:U238"/>
    <mergeCell ref="W238:Z238"/>
    <mergeCell ref="AA238:AK238"/>
    <mergeCell ref="AL236:AM236"/>
    <mergeCell ref="G237:K237"/>
    <mergeCell ref="L237:O237"/>
    <mergeCell ref="P237:R237"/>
    <mergeCell ref="S237:U237"/>
    <mergeCell ref="W237:Z237"/>
    <mergeCell ref="AA237:AK237"/>
    <mergeCell ref="AL237:AM237"/>
    <mergeCell ref="G236:K236"/>
    <mergeCell ref="L236:O236"/>
    <mergeCell ref="P236:R236"/>
    <mergeCell ref="S236:U236"/>
    <mergeCell ref="W236:Z236"/>
    <mergeCell ref="AA236:AK236"/>
    <mergeCell ref="AL234:AM234"/>
    <mergeCell ref="G235:K235"/>
    <mergeCell ref="L235:O235"/>
    <mergeCell ref="P235:R235"/>
    <mergeCell ref="S235:U235"/>
    <mergeCell ref="W235:Z235"/>
    <mergeCell ref="AA235:AK235"/>
    <mergeCell ref="AL235:AM235"/>
    <mergeCell ref="G234:K234"/>
    <mergeCell ref="L234:O234"/>
    <mergeCell ref="P234:R234"/>
    <mergeCell ref="S234:U234"/>
    <mergeCell ref="W234:Z234"/>
    <mergeCell ref="AA234:AK234"/>
    <mergeCell ref="AL232:AM232"/>
    <mergeCell ref="G233:K233"/>
    <mergeCell ref="L233:O233"/>
    <mergeCell ref="P233:R233"/>
    <mergeCell ref="S233:U233"/>
    <mergeCell ref="W233:Z233"/>
    <mergeCell ref="AA233:AK233"/>
    <mergeCell ref="AL233:AM233"/>
    <mergeCell ref="G232:K232"/>
    <mergeCell ref="L232:O232"/>
    <mergeCell ref="P232:R232"/>
    <mergeCell ref="S232:U232"/>
    <mergeCell ref="W232:Z232"/>
    <mergeCell ref="AA232:AK232"/>
    <mergeCell ref="AL230:AM230"/>
    <mergeCell ref="G231:K231"/>
    <mergeCell ref="L231:O231"/>
    <mergeCell ref="P231:R231"/>
    <mergeCell ref="S231:U231"/>
    <mergeCell ref="W231:Z231"/>
    <mergeCell ref="AA231:AK231"/>
    <mergeCell ref="AL231:AM231"/>
    <mergeCell ref="G230:K230"/>
    <mergeCell ref="L230:O230"/>
    <mergeCell ref="P230:R230"/>
    <mergeCell ref="S230:U230"/>
    <mergeCell ref="W230:Z230"/>
    <mergeCell ref="AA230:AK230"/>
    <mergeCell ref="AL228:AM228"/>
    <mergeCell ref="G229:K229"/>
    <mergeCell ref="L229:O229"/>
    <mergeCell ref="P229:R229"/>
    <mergeCell ref="S229:U229"/>
    <mergeCell ref="W229:Z229"/>
    <mergeCell ref="AA229:AK229"/>
    <mergeCell ref="AL229:AM229"/>
    <mergeCell ref="G228:K228"/>
    <mergeCell ref="L228:O228"/>
    <mergeCell ref="P228:R228"/>
    <mergeCell ref="S228:U228"/>
    <mergeCell ref="W228:Z228"/>
    <mergeCell ref="AA228:AK228"/>
    <mergeCell ref="AL226:AM226"/>
    <mergeCell ref="G227:K227"/>
    <mergeCell ref="L227:O227"/>
    <mergeCell ref="P227:R227"/>
    <mergeCell ref="S227:U227"/>
    <mergeCell ref="W227:Z227"/>
    <mergeCell ref="AA227:AK227"/>
    <mergeCell ref="AL227:AM227"/>
    <mergeCell ref="G226:K226"/>
    <mergeCell ref="L226:O226"/>
    <mergeCell ref="P226:R226"/>
    <mergeCell ref="S226:U226"/>
    <mergeCell ref="W226:Z226"/>
    <mergeCell ref="AA226:AK226"/>
    <mergeCell ref="AL224:AM224"/>
    <mergeCell ref="G225:K225"/>
    <mergeCell ref="L225:O225"/>
    <mergeCell ref="P225:R225"/>
    <mergeCell ref="S225:U225"/>
    <mergeCell ref="W225:Z225"/>
    <mergeCell ref="AA225:AK225"/>
    <mergeCell ref="AL225:AM225"/>
    <mergeCell ref="G224:K224"/>
    <mergeCell ref="L224:O224"/>
    <mergeCell ref="P224:R224"/>
    <mergeCell ref="S224:U224"/>
    <mergeCell ref="W224:Z224"/>
    <mergeCell ref="AA224:AK224"/>
    <mergeCell ref="AL222:AM222"/>
    <mergeCell ref="G223:K223"/>
    <mergeCell ref="L223:O223"/>
    <mergeCell ref="P223:R223"/>
    <mergeCell ref="S223:U223"/>
    <mergeCell ref="W223:Z223"/>
    <mergeCell ref="AA223:AK223"/>
    <mergeCell ref="AL223:AM223"/>
    <mergeCell ref="G222:K222"/>
    <mergeCell ref="L222:O222"/>
    <mergeCell ref="P222:R222"/>
    <mergeCell ref="S222:U222"/>
    <mergeCell ref="W222:Z222"/>
    <mergeCell ref="AA222:AK222"/>
    <mergeCell ref="AL220:AM220"/>
    <mergeCell ref="G221:K221"/>
    <mergeCell ref="L221:O221"/>
    <mergeCell ref="P221:R221"/>
    <mergeCell ref="S221:U221"/>
    <mergeCell ref="W221:Z221"/>
    <mergeCell ref="AA221:AK221"/>
    <mergeCell ref="AL221:AM221"/>
    <mergeCell ref="G220:K220"/>
    <mergeCell ref="L220:O220"/>
    <mergeCell ref="P220:R220"/>
    <mergeCell ref="S220:U220"/>
    <mergeCell ref="W220:Z220"/>
    <mergeCell ref="AA220:AK220"/>
    <mergeCell ref="AP211:AP212"/>
    <mergeCell ref="B213:E213"/>
    <mergeCell ref="AJ213:AO213"/>
    <mergeCell ref="B216:AQ216"/>
    <mergeCell ref="F218:AO218"/>
    <mergeCell ref="F219:AO219"/>
    <mergeCell ref="A211:A212"/>
    <mergeCell ref="B211:E212"/>
    <mergeCell ref="F211:F212"/>
    <mergeCell ref="H211:I211"/>
    <mergeCell ref="AH211:AI212"/>
    <mergeCell ref="AJ211:AO212"/>
    <mergeCell ref="AP207:AP208"/>
    <mergeCell ref="B209:E209"/>
    <mergeCell ref="H209:I210"/>
    <mergeCell ref="J209:M210"/>
    <mergeCell ref="AJ209:AO209"/>
    <mergeCell ref="AP203:AP204"/>
    <mergeCell ref="B205:E205"/>
    <mergeCell ref="N205:AD206"/>
    <mergeCell ref="AE205:AE206"/>
    <mergeCell ref="AJ205:AO205"/>
    <mergeCell ref="A207:A208"/>
    <mergeCell ref="B207:E208"/>
    <mergeCell ref="F207:F208"/>
    <mergeCell ref="N207:AD207"/>
    <mergeCell ref="AH207:AI208"/>
    <mergeCell ref="B201:E201"/>
    <mergeCell ref="H201:I202"/>
    <mergeCell ref="J201:M202"/>
    <mergeCell ref="AJ202:AO202"/>
    <mergeCell ref="A203:A204"/>
    <mergeCell ref="B203:E204"/>
    <mergeCell ref="F203:F204"/>
    <mergeCell ref="H203:I203"/>
    <mergeCell ref="AH203:AI204"/>
    <mergeCell ref="AJ203:AO204"/>
    <mergeCell ref="AJ207:AO208"/>
    <mergeCell ref="B197:E197"/>
    <mergeCell ref="AF197:AL198"/>
    <mergeCell ref="AM197:AM198"/>
    <mergeCell ref="A199:A200"/>
    <mergeCell ref="B199:E200"/>
    <mergeCell ref="F199:F200"/>
    <mergeCell ref="AF199:AL199"/>
    <mergeCell ref="B193:E193"/>
    <mergeCell ref="H193:I194"/>
    <mergeCell ref="J193:M194"/>
    <mergeCell ref="A195:A196"/>
    <mergeCell ref="B195:E196"/>
    <mergeCell ref="F195:F196"/>
    <mergeCell ref="H195:I195"/>
    <mergeCell ref="B189:E189"/>
    <mergeCell ref="N189:AD190"/>
    <mergeCell ref="AE189:AE190"/>
    <mergeCell ref="A191:A192"/>
    <mergeCell ref="B191:E192"/>
    <mergeCell ref="F191:F192"/>
    <mergeCell ref="N191:AD191"/>
    <mergeCell ref="B185:E185"/>
    <mergeCell ref="H185:I186"/>
    <mergeCell ref="J185:M186"/>
    <mergeCell ref="A187:A188"/>
    <mergeCell ref="B187:E188"/>
    <mergeCell ref="F187:F188"/>
    <mergeCell ref="H187:I187"/>
    <mergeCell ref="R179:AG181"/>
    <mergeCell ref="AN180:AQ180"/>
    <mergeCell ref="B181:E181"/>
    <mergeCell ref="AL181:AQ182"/>
    <mergeCell ref="R182:AG184"/>
    <mergeCell ref="A183:A184"/>
    <mergeCell ref="B183:E184"/>
    <mergeCell ref="F183:F184"/>
    <mergeCell ref="B177:E177"/>
    <mergeCell ref="H177:I178"/>
    <mergeCell ref="J177:M178"/>
    <mergeCell ref="A179:A180"/>
    <mergeCell ref="B179:E180"/>
    <mergeCell ref="F179:F180"/>
    <mergeCell ref="H179:I179"/>
    <mergeCell ref="B173:E173"/>
    <mergeCell ref="N173:AD174"/>
    <mergeCell ref="AE173:AE174"/>
    <mergeCell ref="A175:A176"/>
    <mergeCell ref="B175:E176"/>
    <mergeCell ref="F175:F176"/>
    <mergeCell ref="N175:AD175"/>
    <mergeCell ref="B169:E169"/>
    <mergeCell ref="H169:I170"/>
    <mergeCell ref="J169:M170"/>
    <mergeCell ref="A171:A172"/>
    <mergeCell ref="B171:E172"/>
    <mergeCell ref="F171:F172"/>
    <mergeCell ref="H171:I171"/>
    <mergeCell ref="B165:E165"/>
    <mergeCell ref="AF165:AL166"/>
    <mergeCell ref="AM165:AM166"/>
    <mergeCell ref="A167:A168"/>
    <mergeCell ref="B167:E168"/>
    <mergeCell ref="F167:F168"/>
    <mergeCell ref="AF167:AL167"/>
    <mergeCell ref="AP159:AP160"/>
    <mergeCell ref="B161:E161"/>
    <mergeCell ref="H161:I162"/>
    <mergeCell ref="J161:M162"/>
    <mergeCell ref="AJ161:AO161"/>
    <mergeCell ref="A163:A164"/>
    <mergeCell ref="B163:E164"/>
    <mergeCell ref="F163:F164"/>
    <mergeCell ref="H163:I163"/>
    <mergeCell ref="AF164:AL164"/>
    <mergeCell ref="A159:A160"/>
    <mergeCell ref="B159:E160"/>
    <mergeCell ref="F159:F160"/>
    <mergeCell ref="N159:AD159"/>
    <mergeCell ref="AH159:AI160"/>
    <mergeCell ref="AJ159:AO160"/>
    <mergeCell ref="AP155:AP156"/>
    <mergeCell ref="G156:H156"/>
    <mergeCell ref="N156:AD156"/>
    <mergeCell ref="B157:E157"/>
    <mergeCell ref="N157:AD158"/>
    <mergeCell ref="AE157:AE158"/>
    <mergeCell ref="AJ157:AO157"/>
    <mergeCell ref="B153:E153"/>
    <mergeCell ref="H153:I154"/>
    <mergeCell ref="J153:M154"/>
    <mergeCell ref="AJ153:AO153"/>
    <mergeCell ref="A155:A156"/>
    <mergeCell ref="B155:E156"/>
    <mergeCell ref="F155:F156"/>
    <mergeCell ref="H155:I155"/>
    <mergeCell ref="AH155:AI156"/>
    <mergeCell ref="AJ155:AO156"/>
    <mergeCell ref="A151:A152"/>
    <mergeCell ref="B151:E152"/>
    <mergeCell ref="F151:F152"/>
    <mergeCell ref="AH151:AI152"/>
    <mergeCell ref="AJ151:AO152"/>
    <mergeCell ref="AP151:AP152"/>
    <mergeCell ref="H152:I152"/>
    <mergeCell ref="B146:AQ146"/>
    <mergeCell ref="B148:E148"/>
    <mergeCell ref="F148:I148"/>
    <mergeCell ref="L148:AI148"/>
    <mergeCell ref="B150:E150"/>
    <mergeCell ref="AJ150:AO150"/>
    <mergeCell ref="H141:I141"/>
    <mergeCell ref="AE141:AG141"/>
    <mergeCell ref="H142:I142"/>
    <mergeCell ref="AE142:AG142"/>
    <mergeCell ref="H143:I143"/>
    <mergeCell ref="AE143:AG143"/>
    <mergeCell ref="H138:I138"/>
    <mergeCell ref="AE138:AG138"/>
    <mergeCell ref="H139:I139"/>
    <mergeCell ref="AE139:AG139"/>
    <mergeCell ref="H140:I140"/>
    <mergeCell ref="AE140:AG140"/>
    <mergeCell ref="AB136:AD136"/>
    <mergeCell ref="AE136:AG136"/>
    <mergeCell ref="AH136:AI136"/>
    <mergeCell ref="AJ136:AL136"/>
    <mergeCell ref="H137:I137"/>
    <mergeCell ref="AE137:AG137"/>
    <mergeCell ref="H132:I132"/>
    <mergeCell ref="AE132:AG132"/>
    <mergeCell ref="H135:AM135"/>
    <mergeCell ref="H136:I136"/>
    <mergeCell ref="J136:L136"/>
    <mergeCell ref="M136:O136"/>
    <mergeCell ref="P136:R136"/>
    <mergeCell ref="S136:U136"/>
    <mergeCell ref="V136:X136"/>
    <mergeCell ref="Y136:AA136"/>
    <mergeCell ref="H129:I129"/>
    <mergeCell ref="AE129:AG129"/>
    <mergeCell ref="H130:I130"/>
    <mergeCell ref="AE130:AG130"/>
    <mergeCell ref="H131:I131"/>
    <mergeCell ref="AE131:AG131"/>
    <mergeCell ref="H126:I126"/>
    <mergeCell ref="AE126:AG126"/>
    <mergeCell ref="H127:I127"/>
    <mergeCell ref="AE127:AG127"/>
    <mergeCell ref="H128:I128"/>
    <mergeCell ref="AE128:AG128"/>
    <mergeCell ref="V125:X125"/>
    <mergeCell ref="Y125:AA125"/>
    <mergeCell ref="AB125:AD125"/>
    <mergeCell ref="AE125:AG125"/>
    <mergeCell ref="AH125:AI125"/>
    <mergeCell ref="AJ125:AL125"/>
    <mergeCell ref="H120:I120"/>
    <mergeCell ref="AE120:AG120"/>
    <mergeCell ref="H121:I121"/>
    <mergeCell ref="AE121:AG121"/>
    <mergeCell ref="H124:AM124"/>
    <mergeCell ref="H125:I125"/>
    <mergeCell ref="J125:L125"/>
    <mergeCell ref="M125:O125"/>
    <mergeCell ref="P125:R125"/>
    <mergeCell ref="S125:U125"/>
    <mergeCell ref="H117:I117"/>
    <mergeCell ref="AE117:AG117"/>
    <mergeCell ref="H118:I118"/>
    <mergeCell ref="AE118:AG118"/>
    <mergeCell ref="H119:I119"/>
    <mergeCell ref="AE119:AG119"/>
    <mergeCell ref="AH114:AI114"/>
    <mergeCell ref="AJ114:AL114"/>
    <mergeCell ref="H115:I115"/>
    <mergeCell ref="AE115:AG115"/>
    <mergeCell ref="H116:I116"/>
    <mergeCell ref="AE116:AG116"/>
    <mergeCell ref="H113:AM113"/>
    <mergeCell ref="H114:I114"/>
    <mergeCell ref="J114:L114"/>
    <mergeCell ref="M114:O114"/>
    <mergeCell ref="P114:R114"/>
    <mergeCell ref="S114:U114"/>
    <mergeCell ref="V114:X114"/>
    <mergeCell ref="Y114:AA114"/>
    <mergeCell ref="AB114:AD114"/>
    <mergeCell ref="AE114:AG114"/>
    <mergeCell ref="H108:I108"/>
    <mergeCell ref="AE108:AG108"/>
    <mergeCell ref="H109:I109"/>
    <mergeCell ref="AE109:AG109"/>
    <mergeCell ref="H110:I110"/>
    <mergeCell ref="AE110:AG110"/>
    <mergeCell ref="H105:I105"/>
    <mergeCell ref="AE105:AG105"/>
    <mergeCell ref="H106:I106"/>
    <mergeCell ref="AE106:AG106"/>
    <mergeCell ref="H107:I107"/>
    <mergeCell ref="AE107:AG107"/>
    <mergeCell ref="Y103:AA103"/>
    <mergeCell ref="AB103:AD103"/>
    <mergeCell ref="AE103:AG103"/>
    <mergeCell ref="AH103:AI103"/>
    <mergeCell ref="AJ103:AL103"/>
    <mergeCell ref="H104:I104"/>
    <mergeCell ref="AE104:AG104"/>
    <mergeCell ref="H103:I103"/>
    <mergeCell ref="J103:L103"/>
    <mergeCell ref="M103:O103"/>
    <mergeCell ref="P103:R103"/>
    <mergeCell ref="S103:U103"/>
    <mergeCell ref="V103:X103"/>
    <mergeCell ref="H97:I97"/>
    <mergeCell ref="AE97:AG97"/>
    <mergeCell ref="H98:I98"/>
    <mergeCell ref="AE98:AG98"/>
    <mergeCell ref="H99:I99"/>
    <mergeCell ref="AE99:AG99"/>
    <mergeCell ref="H94:I94"/>
    <mergeCell ref="AE94:AG94"/>
    <mergeCell ref="H95:I95"/>
    <mergeCell ref="AE95:AG95"/>
    <mergeCell ref="H96:I96"/>
    <mergeCell ref="AE96:AG96"/>
    <mergeCell ref="AB92:AD92"/>
    <mergeCell ref="AE92:AG92"/>
    <mergeCell ref="AH92:AI92"/>
    <mergeCell ref="AJ92:AL92"/>
    <mergeCell ref="H93:I93"/>
    <mergeCell ref="AE93:AG93"/>
    <mergeCell ref="H88:I88"/>
    <mergeCell ref="AE88:AG88"/>
    <mergeCell ref="H91:AM91"/>
    <mergeCell ref="H92:I92"/>
    <mergeCell ref="J92:L92"/>
    <mergeCell ref="M92:O92"/>
    <mergeCell ref="P92:R92"/>
    <mergeCell ref="S92:U92"/>
    <mergeCell ref="V92:X92"/>
    <mergeCell ref="Y92:AA92"/>
    <mergeCell ref="H85:I85"/>
    <mergeCell ref="AE85:AG85"/>
    <mergeCell ref="H86:I86"/>
    <mergeCell ref="AE86:AG86"/>
    <mergeCell ref="H87:I87"/>
    <mergeCell ref="AE87:AG87"/>
    <mergeCell ref="H82:I82"/>
    <mergeCell ref="AE82:AG82"/>
    <mergeCell ref="H83:I83"/>
    <mergeCell ref="AE83:AG83"/>
    <mergeCell ref="H84:I84"/>
    <mergeCell ref="AE84:AG84"/>
    <mergeCell ref="V81:X81"/>
    <mergeCell ref="Y81:AA81"/>
    <mergeCell ref="AB81:AD81"/>
    <mergeCell ref="AE81:AG81"/>
    <mergeCell ref="AH81:AI81"/>
    <mergeCell ref="AJ81:AL81"/>
    <mergeCell ref="H76:I76"/>
    <mergeCell ref="AE76:AG76"/>
    <mergeCell ref="H77:I77"/>
    <mergeCell ref="AE77:AG77"/>
    <mergeCell ref="H80:AM80"/>
    <mergeCell ref="H81:I81"/>
    <mergeCell ref="J81:L81"/>
    <mergeCell ref="M81:O81"/>
    <mergeCell ref="P81:R81"/>
    <mergeCell ref="S81:U81"/>
    <mergeCell ref="H73:I73"/>
    <mergeCell ref="AE73:AG73"/>
    <mergeCell ref="H74:I74"/>
    <mergeCell ref="AE74:AG74"/>
    <mergeCell ref="H75:I75"/>
    <mergeCell ref="AE75:AG75"/>
    <mergeCell ref="AH70:AI70"/>
    <mergeCell ref="AJ70:AL70"/>
    <mergeCell ref="H71:I71"/>
    <mergeCell ref="AE71:AG71"/>
    <mergeCell ref="H72:I72"/>
    <mergeCell ref="AE72:AG72"/>
    <mergeCell ref="H69:AM69"/>
    <mergeCell ref="H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H64:I64"/>
    <mergeCell ref="AE64:AG64"/>
    <mergeCell ref="H65:I65"/>
    <mergeCell ref="AE65:AG65"/>
    <mergeCell ref="H66:I66"/>
    <mergeCell ref="AE66:AG66"/>
    <mergeCell ref="H61:I61"/>
    <mergeCell ref="AE61:AG61"/>
    <mergeCell ref="CN61:CO61"/>
    <mergeCell ref="H62:I62"/>
    <mergeCell ref="AE62:AG62"/>
    <mergeCell ref="H63:I63"/>
    <mergeCell ref="AE63:AG63"/>
    <mergeCell ref="Y59:AA59"/>
    <mergeCell ref="AB59:AD59"/>
    <mergeCell ref="AE59:AG59"/>
    <mergeCell ref="AH59:AI59"/>
    <mergeCell ref="AJ59:AL59"/>
    <mergeCell ref="H60:I60"/>
    <mergeCell ref="AE60:AG60"/>
    <mergeCell ref="H59:I59"/>
    <mergeCell ref="J59:L59"/>
    <mergeCell ref="M59:O59"/>
    <mergeCell ref="P59:R59"/>
    <mergeCell ref="S59:U59"/>
    <mergeCell ref="V59:X59"/>
    <mergeCell ref="V52:AN54"/>
    <mergeCell ref="I53:T53"/>
    <mergeCell ref="I55:L55"/>
    <mergeCell ref="M55:N55"/>
    <mergeCell ref="O55:AM55"/>
    <mergeCell ref="H58:AM58"/>
    <mergeCell ref="Q46:S46"/>
    <mergeCell ref="I48:L48"/>
    <mergeCell ref="M48:N48"/>
    <mergeCell ref="I51:L51"/>
    <mergeCell ref="M51:N51"/>
    <mergeCell ref="O51:AN51"/>
    <mergeCell ref="H42:H46"/>
    <mergeCell ref="J42:L42"/>
    <mergeCell ref="N42:P42"/>
    <mergeCell ref="Q42:S42"/>
    <mergeCell ref="V42:AL44"/>
    <mergeCell ref="J44:L44"/>
    <mergeCell ref="N44:P44"/>
    <mergeCell ref="Q44:S44"/>
    <mergeCell ref="J46:L46"/>
    <mergeCell ref="N46:P46"/>
    <mergeCell ref="H33:AD33"/>
    <mergeCell ref="I34:L34"/>
    <mergeCell ref="I36:L36"/>
    <mergeCell ref="I38:L38"/>
    <mergeCell ref="J40:L40"/>
    <mergeCell ref="N40:P40"/>
    <mergeCell ref="Q40:S40"/>
    <mergeCell ref="V40:AM40"/>
    <mergeCell ref="H32:M32"/>
    <mergeCell ref="N32:R32"/>
    <mergeCell ref="S32:U32"/>
    <mergeCell ref="W32:Y32"/>
    <mergeCell ref="Z32:AK32"/>
    <mergeCell ref="AL32:AM32"/>
    <mergeCell ref="Z27:AK27"/>
    <mergeCell ref="AL27:AM27"/>
    <mergeCell ref="H28:M28"/>
    <mergeCell ref="N28:R28"/>
    <mergeCell ref="S28:U28"/>
    <mergeCell ref="W28:Y28"/>
    <mergeCell ref="Z28:AK28"/>
    <mergeCell ref="AL28:AM28"/>
    <mergeCell ref="H31:M31"/>
    <mergeCell ref="N31:R31"/>
    <mergeCell ref="S31:U31"/>
    <mergeCell ref="W31:Y31"/>
    <mergeCell ref="Z31:AK31"/>
    <mergeCell ref="AL31:AM31"/>
    <mergeCell ref="H30:M30"/>
    <mergeCell ref="N30:R30"/>
    <mergeCell ref="S30:U30"/>
    <mergeCell ref="W30:Y30"/>
    <mergeCell ref="Z30:AK30"/>
    <mergeCell ref="AL30:AM30"/>
    <mergeCell ref="AL25:AM25"/>
    <mergeCell ref="B26:E50"/>
    <mergeCell ref="H26:M26"/>
    <mergeCell ref="N26:R26"/>
    <mergeCell ref="S26:U26"/>
    <mergeCell ref="W26:Y26"/>
    <mergeCell ref="Z26:AK26"/>
    <mergeCell ref="AL26:AM26"/>
    <mergeCell ref="H27:M27"/>
    <mergeCell ref="N27:R27"/>
    <mergeCell ref="B25:D25"/>
    <mergeCell ref="H25:M25"/>
    <mergeCell ref="N25:R25"/>
    <mergeCell ref="S25:U25"/>
    <mergeCell ref="W25:Y25"/>
    <mergeCell ref="Z25:AK25"/>
    <mergeCell ref="H29:M29"/>
    <mergeCell ref="N29:R29"/>
    <mergeCell ref="S29:U29"/>
    <mergeCell ref="W29:Y29"/>
    <mergeCell ref="Z29:AK29"/>
    <mergeCell ref="AL29:AM29"/>
    <mergeCell ref="S27:U27"/>
    <mergeCell ref="W27:Y27"/>
    <mergeCell ref="AL23:AM23"/>
    <mergeCell ref="B24:D24"/>
    <mergeCell ref="H24:M24"/>
    <mergeCell ref="N24:R24"/>
    <mergeCell ref="S24:U24"/>
    <mergeCell ref="W24:Y24"/>
    <mergeCell ref="Z24:AK24"/>
    <mergeCell ref="AL24:AM24"/>
    <mergeCell ref="B23:D23"/>
    <mergeCell ref="H23:M23"/>
    <mergeCell ref="N23:R23"/>
    <mergeCell ref="S23:U23"/>
    <mergeCell ref="W23:Y23"/>
    <mergeCell ref="Z23:AK23"/>
    <mergeCell ref="BI21:BK21"/>
    <mergeCell ref="B22:D22"/>
    <mergeCell ref="H22:M22"/>
    <mergeCell ref="N22:R22"/>
    <mergeCell ref="S22:U22"/>
    <mergeCell ref="W22:Y22"/>
    <mergeCell ref="Z22:AK22"/>
    <mergeCell ref="AL22:AM22"/>
    <mergeCell ref="H21:M21"/>
    <mergeCell ref="N21:R21"/>
    <mergeCell ref="S21:U21"/>
    <mergeCell ref="W21:Y21"/>
    <mergeCell ref="Z21:AK21"/>
    <mergeCell ref="AL21:AM21"/>
    <mergeCell ref="AL19:AM19"/>
    <mergeCell ref="BI19:BK19"/>
    <mergeCell ref="B20:E20"/>
    <mergeCell ref="H20:M20"/>
    <mergeCell ref="N20:R20"/>
    <mergeCell ref="S20:U20"/>
    <mergeCell ref="W20:Y20"/>
    <mergeCell ref="Z20:AK20"/>
    <mergeCell ref="AL20:AM20"/>
    <mergeCell ref="BI20:BK20"/>
    <mergeCell ref="B19:E19"/>
    <mergeCell ref="H19:M19"/>
    <mergeCell ref="N19:R19"/>
    <mergeCell ref="S19:U19"/>
    <mergeCell ref="W19:Y19"/>
    <mergeCell ref="Z19:AK19"/>
    <mergeCell ref="H18:M18"/>
    <mergeCell ref="N18:R18"/>
    <mergeCell ref="S18:U18"/>
    <mergeCell ref="W18:Y18"/>
    <mergeCell ref="Z18:AK18"/>
    <mergeCell ref="AL18:AM18"/>
    <mergeCell ref="AL16:AM16"/>
    <mergeCell ref="B17:E17"/>
    <mergeCell ref="H17:M17"/>
    <mergeCell ref="N17:R17"/>
    <mergeCell ref="S17:U17"/>
    <mergeCell ref="W17:Y17"/>
    <mergeCell ref="Z17:AK17"/>
    <mergeCell ref="AL17:AM17"/>
    <mergeCell ref="B16:E16"/>
    <mergeCell ref="H16:M16"/>
    <mergeCell ref="N16:R16"/>
    <mergeCell ref="S16:U16"/>
    <mergeCell ref="W16:Y16"/>
    <mergeCell ref="Z16:AK16"/>
    <mergeCell ref="H15:M15"/>
    <mergeCell ref="N15:R15"/>
    <mergeCell ref="S15:U15"/>
    <mergeCell ref="W15:Y15"/>
    <mergeCell ref="Z15:AK15"/>
    <mergeCell ref="AL15:AM15"/>
    <mergeCell ref="AL13:AM13"/>
    <mergeCell ref="B14:E14"/>
    <mergeCell ref="H14:M14"/>
    <mergeCell ref="N14:R14"/>
    <mergeCell ref="S14:U14"/>
    <mergeCell ref="W14:Y14"/>
    <mergeCell ref="Z14:AK14"/>
    <mergeCell ref="AL14:AM14"/>
    <mergeCell ref="B13:E13"/>
    <mergeCell ref="H13:M13"/>
    <mergeCell ref="N13:R13"/>
    <mergeCell ref="S13:U13"/>
    <mergeCell ref="W13:Y13"/>
    <mergeCell ref="Z13:AK13"/>
    <mergeCell ref="H12:M12"/>
    <mergeCell ref="N12:R12"/>
    <mergeCell ref="S12:U12"/>
    <mergeCell ref="W12:Y12"/>
    <mergeCell ref="Z12:AK12"/>
    <mergeCell ref="AL12:AM12"/>
    <mergeCell ref="AL10:AM10"/>
    <mergeCell ref="B11:E11"/>
    <mergeCell ref="H11:M11"/>
    <mergeCell ref="N11:R11"/>
    <mergeCell ref="S11:U11"/>
    <mergeCell ref="W11:Y11"/>
    <mergeCell ref="Z11:AK11"/>
    <mergeCell ref="AL11:AM11"/>
    <mergeCell ref="B10:E10"/>
    <mergeCell ref="H10:M10"/>
    <mergeCell ref="N10:R10"/>
    <mergeCell ref="S10:U10"/>
    <mergeCell ref="W10:Y10"/>
    <mergeCell ref="Z10:AK10"/>
    <mergeCell ref="H9:M9"/>
    <mergeCell ref="N9:R9"/>
    <mergeCell ref="S9:U9"/>
    <mergeCell ref="W9:Y9"/>
    <mergeCell ref="Z9:AK9"/>
    <mergeCell ref="AL9:AM9"/>
    <mergeCell ref="AL7:AM7"/>
    <mergeCell ref="B8:E8"/>
    <mergeCell ref="H8:M8"/>
    <mergeCell ref="N8:R8"/>
    <mergeCell ref="S8:U8"/>
    <mergeCell ref="W8:Y8"/>
    <mergeCell ref="Z8:AK8"/>
    <mergeCell ref="AL8:AM8"/>
    <mergeCell ref="B7:E7"/>
    <mergeCell ref="H7:M7"/>
    <mergeCell ref="N7:R7"/>
    <mergeCell ref="S7:U7"/>
    <mergeCell ref="W7:Y7"/>
    <mergeCell ref="Z7:AK7"/>
    <mergeCell ref="H6:M6"/>
    <mergeCell ref="N6:R6"/>
    <mergeCell ref="S6:U6"/>
    <mergeCell ref="W6:Y6"/>
    <mergeCell ref="Z6:AK6"/>
    <mergeCell ref="AL6:AM6"/>
    <mergeCell ref="AL4:AM4"/>
    <mergeCell ref="B5:E5"/>
    <mergeCell ref="H5:M5"/>
    <mergeCell ref="N5:R5"/>
    <mergeCell ref="S5:U5"/>
    <mergeCell ref="W5:Y5"/>
    <mergeCell ref="Z5:AK5"/>
    <mergeCell ref="AL5:AM5"/>
    <mergeCell ref="B4:E4"/>
    <mergeCell ref="H4:M4"/>
    <mergeCell ref="N4:R4"/>
    <mergeCell ref="S4:U4"/>
    <mergeCell ref="W4:Y4"/>
    <mergeCell ref="Z4:AK4"/>
    <mergeCell ref="A1:AN1"/>
    <mergeCell ref="B2:E2"/>
    <mergeCell ref="G2:AN2"/>
    <mergeCell ref="CN2:CS2"/>
    <mergeCell ref="H3:M3"/>
    <mergeCell ref="N3:R3"/>
    <mergeCell ref="S3:U3"/>
    <mergeCell ref="W3:Y3"/>
    <mergeCell ref="Z3:AK3"/>
    <mergeCell ref="AL3:AM3"/>
  </mergeCells>
  <phoneticPr fontId="70" type="noConversion"/>
  <conditionalFormatting sqref="J103:AD103">
    <cfRule type="cellIs" dxfId="2010" priority="1935" operator="equal">
      <formula>0</formula>
    </cfRule>
  </conditionalFormatting>
  <conditionalFormatting sqref="AH104:AI110">
    <cfRule type="expression" dxfId="2009" priority="1934">
      <formula>$AJ104+$AL104&gt;0</formula>
    </cfRule>
  </conditionalFormatting>
  <conditionalFormatting sqref="AM104:AM110">
    <cfRule type="expression" dxfId="2008" priority="1933">
      <formula>$AJ104+$AL104&gt;0</formula>
    </cfRule>
  </conditionalFormatting>
  <conditionalFormatting sqref="AN103:AO110">
    <cfRule type="expression" dxfId="2007" priority="1932">
      <formula>$AU$111&gt;0</formula>
    </cfRule>
  </conditionalFormatting>
  <conditionalFormatting sqref="AN104:AN110">
    <cfRule type="cellIs" dxfId="2006" priority="1931" operator="equal">
      <formula>0</formula>
    </cfRule>
  </conditionalFormatting>
  <conditionalFormatting sqref="AO104">
    <cfRule type="expression" dxfId="2005" priority="1930">
      <formula>$BD104+$BO104=0</formula>
    </cfRule>
  </conditionalFormatting>
  <conditionalFormatting sqref="AO105:AO110">
    <cfRule type="expression" dxfId="2004" priority="1929">
      <formula>$BD105+$BO105=0</formula>
    </cfRule>
  </conditionalFormatting>
  <conditionalFormatting sqref="AP103:AP110">
    <cfRule type="expression" dxfId="2003" priority="1928">
      <formula>$BZ$111&gt;1</formula>
    </cfRule>
  </conditionalFormatting>
  <conditionalFormatting sqref="AP104:AP110">
    <cfRule type="containsText" dxfId="2002" priority="1927" operator="containsText" text="?">
      <formula>NOT(ISERROR(SEARCH("?",AP104)))</formula>
    </cfRule>
  </conditionalFormatting>
  <conditionalFormatting sqref="AN104">
    <cfRule type="expression" dxfId="2001" priority="1926">
      <formula>$BD104+$BO104=0</formula>
    </cfRule>
  </conditionalFormatting>
  <conditionalFormatting sqref="AN105">
    <cfRule type="expression" dxfId="2000" priority="1925">
      <formula>$BD105+$BO105=0</formula>
    </cfRule>
  </conditionalFormatting>
  <conditionalFormatting sqref="AN106">
    <cfRule type="expression" dxfId="1999" priority="1924">
      <formula>$BD106+$BO106=0</formula>
    </cfRule>
  </conditionalFormatting>
  <conditionalFormatting sqref="AN107">
    <cfRule type="expression" dxfId="1998" priority="1923">
      <formula>$BD107+$BO107=0</formula>
    </cfRule>
  </conditionalFormatting>
  <conditionalFormatting sqref="AN108">
    <cfRule type="expression" dxfId="1997" priority="1922">
      <formula>$BD108+$BO108=0</formula>
    </cfRule>
  </conditionalFormatting>
  <conditionalFormatting sqref="AN109">
    <cfRule type="expression" dxfId="1996" priority="1921">
      <formula>$BD109+$BO109=0</formula>
    </cfRule>
  </conditionalFormatting>
  <conditionalFormatting sqref="AN110">
    <cfRule type="expression" dxfId="1995" priority="1920">
      <formula>$BD110+$BO110=0</formula>
    </cfRule>
  </conditionalFormatting>
  <conditionalFormatting sqref="AN104:AO104 AH104:AI110">
    <cfRule type="expression" dxfId="1994" priority="1909">
      <formula>$AH104=$BX$108</formula>
    </cfRule>
    <cfRule type="expression" dxfId="1993" priority="1916">
      <formula>$AH104=$BW$108</formula>
    </cfRule>
    <cfRule type="expression" dxfId="1992" priority="1917">
      <formula>$AH104=$BV$108</formula>
    </cfRule>
    <cfRule type="expression" dxfId="1991" priority="1918">
      <formula>$AH104=$BU$108</formula>
    </cfRule>
    <cfRule type="expression" dxfId="1990" priority="1919">
      <formula>$AH104=$BT$108</formula>
    </cfRule>
  </conditionalFormatting>
  <conditionalFormatting sqref="AO105:AO110">
    <cfRule type="expression" dxfId="1989" priority="1915">
      <formula>$BD105+$BO105=0</formula>
    </cfRule>
  </conditionalFormatting>
  <conditionalFormatting sqref="AN105:AN110">
    <cfRule type="expression" dxfId="1988" priority="1914">
      <formula>$BD105+$BO105=0</formula>
    </cfRule>
  </conditionalFormatting>
  <conditionalFormatting sqref="AN105:AO110">
    <cfRule type="expression" dxfId="1987" priority="1910">
      <formula>$AH105=$BW$108</formula>
    </cfRule>
    <cfRule type="expression" dxfId="1986" priority="1911">
      <formula>$AH105=$BV$108</formula>
    </cfRule>
    <cfRule type="expression" dxfId="1985" priority="1912">
      <formula>$AH105=$BU$108</formula>
    </cfRule>
    <cfRule type="expression" dxfId="1984" priority="1913">
      <formula>$AH105=$BT$108</formula>
    </cfRule>
  </conditionalFormatting>
  <conditionalFormatting sqref="AO105:AO110">
    <cfRule type="expression" dxfId="1983" priority="1908">
      <formula>$BD105+$BO105=0</formula>
    </cfRule>
  </conditionalFormatting>
  <conditionalFormatting sqref="AN105:AN110">
    <cfRule type="expression" dxfId="1982" priority="1907">
      <formula>$BD105+$BO105=0</formula>
    </cfRule>
  </conditionalFormatting>
  <conditionalFormatting sqref="AN105:AO110">
    <cfRule type="expression" dxfId="1981" priority="1902">
      <formula>$AH105=$BX$108</formula>
    </cfRule>
    <cfRule type="expression" dxfId="1980" priority="1903">
      <formula>$AH105=$BW$108</formula>
    </cfRule>
    <cfRule type="expression" dxfId="1979" priority="1904">
      <formula>$AH105=$BV$108</formula>
    </cfRule>
    <cfRule type="expression" dxfId="1978" priority="1905">
      <formula>$AH105=$BU$108</formula>
    </cfRule>
    <cfRule type="expression" dxfId="1977" priority="1906">
      <formula>$AH105=$BT$108</formula>
    </cfRule>
  </conditionalFormatting>
  <conditionalFormatting sqref="J114:AD114">
    <cfRule type="cellIs" dxfId="1976" priority="1901" operator="equal">
      <formula>0</formula>
    </cfRule>
  </conditionalFormatting>
  <conditionalFormatting sqref="J125:AD125">
    <cfRule type="cellIs" dxfId="1975" priority="1900" operator="equal">
      <formula>0</formula>
    </cfRule>
  </conditionalFormatting>
  <conditionalFormatting sqref="J136:AD136">
    <cfRule type="cellIs" dxfId="1974" priority="1899" operator="equal">
      <formula>0</formula>
    </cfRule>
  </conditionalFormatting>
  <conditionalFormatting sqref="AM115:AM121">
    <cfRule type="expression" dxfId="1973" priority="1898">
      <formula>$AJ115+$AL115&gt;0</formula>
    </cfRule>
  </conditionalFormatting>
  <conditionalFormatting sqref="AN114:AO121">
    <cfRule type="expression" dxfId="1972" priority="1897">
      <formula>$AU$122&gt;0</formula>
    </cfRule>
  </conditionalFormatting>
  <conditionalFormatting sqref="AN115:AN121">
    <cfRule type="cellIs" dxfId="1971" priority="1896" operator="equal">
      <formula>0</formula>
    </cfRule>
  </conditionalFormatting>
  <conditionalFormatting sqref="AO115">
    <cfRule type="expression" dxfId="1970" priority="1895">
      <formula>$BD115+$BO115=0</formula>
    </cfRule>
  </conditionalFormatting>
  <conditionalFormatting sqref="AO116:AO121">
    <cfRule type="expression" dxfId="1969" priority="1894">
      <formula>$BD116+$BO116=0</formula>
    </cfRule>
  </conditionalFormatting>
  <conditionalFormatting sqref="AP114:AP121">
    <cfRule type="expression" dxfId="1968" priority="1893">
      <formula>$BZ$122&gt;1</formula>
    </cfRule>
  </conditionalFormatting>
  <conditionalFormatting sqref="AP115:AP121">
    <cfRule type="containsText" dxfId="1967" priority="1892" operator="containsText" text="?">
      <formula>NOT(ISERROR(SEARCH("?",AP115)))</formula>
    </cfRule>
  </conditionalFormatting>
  <conditionalFormatting sqref="AN115">
    <cfRule type="expression" dxfId="1966" priority="1891">
      <formula>$BD115+$BO115=0</formula>
    </cfRule>
  </conditionalFormatting>
  <conditionalFormatting sqref="AN116">
    <cfRule type="expression" dxfId="1965" priority="1890">
      <formula>$BD116+$BO116=0</formula>
    </cfRule>
  </conditionalFormatting>
  <conditionalFormatting sqref="AN117">
    <cfRule type="expression" dxfId="1964" priority="1889">
      <formula>$BD117+$BO117=0</formula>
    </cfRule>
  </conditionalFormatting>
  <conditionalFormatting sqref="AN118">
    <cfRule type="expression" dxfId="1963" priority="1888">
      <formula>$BD118+$BO118=0</formula>
    </cfRule>
  </conditionalFormatting>
  <conditionalFormatting sqref="AN119">
    <cfRule type="expression" dxfId="1962" priority="1887">
      <formula>$BD119+$BO119=0</formula>
    </cfRule>
  </conditionalFormatting>
  <conditionalFormatting sqref="AN120">
    <cfRule type="expression" dxfId="1961" priority="1886">
      <formula>$BD120+$BO120=0</formula>
    </cfRule>
  </conditionalFormatting>
  <conditionalFormatting sqref="AN121">
    <cfRule type="expression" dxfId="1960" priority="1885">
      <formula>$BD121+$BO121=0</formula>
    </cfRule>
  </conditionalFormatting>
  <conditionalFormatting sqref="AN115:AO115">
    <cfRule type="expression" dxfId="1959" priority="1874">
      <formula>$AH115=$BX$119</formula>
    </cfRule>
    <cfRule type="expression" dxfId="1958" priority="1881">
      <formula>$AH115=$BW$119</formula>
    </cfRule>
    <cfRule type="expression" dxfId="1957" priority="1882">
      <formula>$AH115=$BV$119</formula>
    </cfRule>
    <cfRule type="expression" dxfId="1956" priority="1883">
      <formula>$AH115=$BU$119</formula>
    </cfRule>
    <cfRule type="expression" dxfId="1955" priority="1884">
      <formula>$AH115=$BT$119</formula>
    </cfRule>
  </conditionalFormatting>
  <conditionalFormatting sqref="AO116:AO121">
    <cfRule type="expression" dxfId="1954" priority="1880">
      <formula>$BD116+$BO116=0</formula>
    </cfRule>
  </conditionalFormatting>
  <conditionalFormatting sqref="AN116:AN121">
    <cfRule type="expression" dxfId="1953" priority="1879">
      <formula>$BD116+$BO116=0</formula>
    </cfRule>
  </conditionalFormatting>
  <conditionalFormatting sqref="AN116:AO121">
    <cfRule type="expression" dxfId="1952" priority="1875">
      <formula>$AH116=$BW$119</formula>
    </cfRule>
    <cfRule type="expression" dxfId="1951" priority="1876">
      <formula>$AH116=$BV$119</formula>
    </cfRule>
    <cfRule type="expression" dxfId="1950" priority="1877">
      <formula>$AH116=$BU$119</formula>
    </cfRule>
    <cfRule type="expression" dxfId="1949" priority="1878">
      <formula>$AH116=$BT$119</formula>
    </cfRule>
  </conditionalFormatting>
  <conditionalFormatting sqref="AO116:AO121">
    <cfRule type="expression" dxfId="1948" priority="1873">
      <formula>$BD116+$BO116=0</formula>
    </cfRule>
  </conditionalFormatting>
  <conditionalFormatting sqref="AN116:AN121">
    <cfRule type="expression" dxfId="1947" priority="1872">
      <formula>$BD116+$BO116=0</formula>
    </cfRule>
  </conditionalFormatting>
  <conditionalFormatting sqref="AN116:AO121">
    <cfRule type="expression" dxfId="1946" priority="1867">
      <formula>$AH116=$BX$119</formula>
    </cfRule>
    <cfRule type="expression" dxfId="1945" priority="1868">
      <formula>$AH116=$BW$119</formula>
    </cfRule>
    <cfRule type="expression" dxfId="1944" priority="1869">
      <formula>$AH116=$BV$119</formula>
    </cfRule>
    <cfRule type="expression" dxfId="1943" priority="1870">
      <formula>$AH116=$BU$119</formula>
    </cfRule>
    <cfRule type="expression" dxfId="1942" priority="1871">
      <formula>$AH116=$BT$119</formula>
    </cfRule>
  </conditionalFormatting>
  <conditionalFormatting sqref="AM126:AM132">
    <cfRule type="expression" dxfId="1941" priority="1866">
      <formula>$AJ126+$AL126&gt;0</formula>
    </cfRule>
  </conditionalFormatting>
  <conditionalFormatting sqref="AN125:AO132">
    <cfRule type="expression" dxfId="1940" priority="1865">
      <formula>$AU$133&gt;0</formula>
    </cfRule>
  </conditionalFormatting>
  <conditionalFormatting sqref="AN126:AN132">
    <cfRule type="cellIs" dxfId="1939" priority="1864" operator="equal">
      <formula>0</formula>
    </cfRule>
  </conditionalFormatting>
  <conditionalFormatting sqref="AO126">
    <cfRule type="expression" dxfId="1938" priority="1863">
      <formula>$BD126+$BO126=0</formula>
    </cfRule>
  </conditionalFormatting>
  <conditionalFormatting sqref="AO127:AO132">
    <cfRule type="expression" dxfId="1937" priority="1862">
      <formula>$BD127+$BO127=0</formula>
    </cfRule>
  </conditionalFormatting>
  <conditionalFormatting sqref="AP125:AP132">
    <cfRule type="expression" dxfId="1936" priority="1861">
      <formula>$BZ$133&gt;1</formula>
    </cfRule>
  </conditionalFormatting>
  <conditionalFormatting sqref="AP126:AP132">
    <cfRule type="containsText" dxfId="1935" priority="1860" operator="containsText" text="?">
      <formula>NOT(ISERROR(SEARCH("?",AP126)))</formula>
    </cfRule>
  </conditionalFormatting>
  <conditionalFormatting sqref="AN126">
    <cfRule type="expression" dxfId="1934" priority="1859">
      <formula>$BD126+$BO126=0</formula>
    </cfRule>
  </conditionalFormatting>
  <conditionalFormatting sqref="AN127">
    <cfRule type="expression" dxfId="1933" priority="1858">
      <formula>$BD127+$BO127=0</formula>
    </cfRule>
  </conditionalFormatting>
  <conditionalFormatting sqref="AN128">
    <cfRule type="expression" dxfId="1932" priority="1857">
      <formula>$BD128+$BO128=0</formula>
    </cfRule>
  </conditionalFormatting>
  <conditionalFormatting sqref="AN129">
    <cfRule type="expression" dxfId="1931" priority="1856">
      <formula>$BD129+$BO129=0</formula>
    </cfRule>
  </conditionalFormatting>
  <conditionalFormatting sqref="AN130">
    <cfRule type="expression" dxfId="1930" priority="1855">
      <formula>$BD130+$BO130=0</formula>
    </cfRule>
  </conditionalFormatting>
  <conditionalFormatting sqref="AN131">
    <cfRule type="expression" dxfId="1929" priority="1854">
      <formula>$BD131+$BO131=0</formula>
    </cfRule>
  </conditionalFormatting>
  <conditionalFormatting sqref="AN132">
    <cfRule type="expression" dxfId="1928" priority="1853">
      <formula>$BD132+$BO132=0</formula>
    </cfRule>
  </conditionalFormatting>
  <conditionalFormatting sqref="AN126:AO126">
    <cfRule type="expression" dxfId="1927" priority="1842">
      <formula>$AH126=$BX$130</formula>
    </cfRule>
    <cfRule type="expression" dxfId="1926" priority="1849">
      <formula>$AH126=$BW$130</formula>
    </cfRule>
    <cfRule type="expression" dxfId="1925" priority="1850">
      <formula>$AH126=$BV$130</formula>
    </cfRule>
    <cfRule type="expression" dxfId="1924" priority="1851">
      <formula>$AH126=$BU$130</formula>
    </cfRule>
    <cfRule type="expression" dxfId="1923" priority="1852">
      <formula>$AH126=$BT$130</formula>
    </cfRule>
  </conditionalFormatting>
  <conditionalFormatting sqref="AO127:AO132">
    <cfRule type="expression" dxfId="1922" priority="1848">
      <formula>$BD127+$BO127=0</formula>
    </cfRule>
  </conditionalFormatting>
  <conditionalFormatting sqref="AN127:AN132">
    <cfRule type="expression" dxfId="1921" priority="1847">
      <formula>$BD127+$BO127=0</formula>
    </cfRule>
  </conditionalFormatting>
  <conditionalFormatting sqref="AN127:AO132">
    <cfRule type="expression" dxfId="1920" priority="1843">
      <formula>$AH127=$BW$130</formula>
    </cfRule>
    <cfRule type="expression" dxfId="1919" priority="1844">
      <formula>$AH127=$BV$130</formula>
    </cfRule>
    <cfRule type="expression" dxfId="1918" priority="1845">
      <formula>$AH127=$BU$130</formula>
    </cfRule>
    <cfRule type="expression" dxfId="1917" priority="1846">
      <formula>$AH127=$BT$130</formula>
    </cfRule>
  </conditionalFormatting>
  <conditionalFormatting sqref="AO127:AO132">
    <cfRule type="expression" dxfId="1916" priority="1841">
      <formula>$BD127+$BO127=0</formula>
    </cfRule>
  </conditionalFormatting>
  <conditionalFormatting sqref="AN127:AN132">
    <cfRule type="expression" dxfId="1915" priority="1840">
      <formula>$BD127+$BO127=0</formula>
    </cfRule>
  </conditionalFormatting>
  <conditionalFormatting sqref="AN127:AO132">
    <cfRule type="expression" dxfId="1914" priority="1835">
      <formula>$AH127=$BX$130</formula>
    </cfRule>
    <cfRule type="expression" dxfId="1913" priority="1836">
      <formula>$AH127=$BW$130</formula>
    </cfRule>
    <cfRule type="expression" dxfId="1912" priority="1837">
      <formula>$AH127=$BV$130</formula>
    </cfRule>
    <cfRule type="expression" dxfId="1911" priority="1838">
      <formula>$AH127=$BU$130</formula>
    </cfRule>
    <cfRule type="expression" dxfId="1910" priority="1839">
      <formula>$AH127=$BT$130</formula>
    </cfRule>
  </conditionalFormatting>
  <conditionalFormatting sqref="AM137:AM143">
    <cfRule type="expression" dxfId="1909" priority="1834">
      <formula>$AJ137+$AL137&gt;0</formula>
    </cfRule>
  </conditionalFormatting>
  <conditionalFormatting sqref="AN136:AO143">
    <cfRule type="expression" dxfId="1908" priority="1833">
      <formula>$AU$144&gt;0</formula>
    </cfRule>
  </conditionalFormatting>
  <conditionalFormatting sqref="AN137:AN143">
    <cfRule type="cellIs" dxfId="1907" priority="1832" operator="equal">
      <formula>0</formula>
    </cfRule>
  </conditionalFormatting>
  <conditionalFormatting sqref="AO137">
    <cfRule type="expression" dxfId="1906" priority="1831">
      <formula>$BD137+$BO137=0</formula>
    </cfRule>
  </conditionalFormatting>
  <conditionalFormatting sqref="AO138:AO143">
    <cfRule type="expression" dxfId="1905" priority="1830">
      <formula>$BD138+$BO138=0</formula>
    </cfRule>
  </conditionalFormatting>
  <conditionalFormatting sqref="AP136:AP143">
    <cfRule type="expression" dxfId="1904" priority="1829">
      <formula>$BZ$144&gt;1</formula>
    </cfRule>
  </conditionalFormatting>
  <conditionalFormatting sqref="AP137:AP143">
    <cfRule type="containsText" dxfId="1903" priority="1828" operator="containsText" text="?">
      <formula>NOT(ISERROR(SEARCH("?",AP137)))</formula>
    </cfRule>
  </conditionalFormatting>
  <conditionalFormatting sqref="AN137">
    <cfRule type="expression" dxfId="1902" priority="1827">
      <formula>$BD137+$BO137=0</formula>
    </cfRule>
  </conditionalFormatting>
  <conditionalFormatting sqref="AN138">
    <cfRule type="expression" dxfId="1901" priority="1826">
      <formula>$BD138+$BO138=0</formula>
    </cfRule>
  </conditionalFormatting>
  <conditionalFormatting sqref="AN139">
    <cfRule type="expression" dxfId="1900" priority="1825">
      <formula>$BD139+$BO139=0</formula>
    </cfRule>
  </conditionalFormatting>
  <conditionalFormatting sqref="AN140">
    <cfRule type="expression" dxfId="1899" priority="1824">
      <formula>$BD140+$BO140=0</formula>
    </cfRule>
  </conditionalFormatting>
  <conditionalFormatting sqref="AN141">
    <cfRule type="expression" dxfId="1898" priority="1823">
      <formula>$BD141+$BO141=0</formula>
    </cfRule>
  </conditionalFormatting>
  <conditionalFormatting sqref="AN142">
    <cfRule type="expression" dxfId="1897" priority="1822">
      <formula>$BD142+$BO142=0</formula>
    </cfRule>
  </conditionalFormatting>
  <conditionalFormatting sqref="AN143">
    <cfRule type="expression" dxfId="1896" priority="1821">
      <formula>$BD143+$BO143=0</formula>
    </cfRule>
  </conditionalFormatting>
  <conditionalFormatting sqref="AN137:AO137">
    <cfRule type="expression" dxfId="1895" priority="1810">
      <formula>$AH137=$BX$141</formula>
    </cfRule>
    <cfRule type="expression" dxfId="1894" priority="1817">
      <formula>$AH137=$BW$141</formula>
    </cfRule>
    <cfRule type="expression" dxfId="1893" priority="1818">
      <formula>$AH137=$BV$141</formula>
    </cfRule>
    <cfRule type="expression" dxfId="1892" priority="1819">
      <formula>$AH137=$BU$141</formula>
    </cfRule>
    <cfRule type="expression" dxfId="1891" priority="1820">
      <formula>$AH137=$BT$141</formula>
    </cfRule>
  </conditionalFormatting>
  <conditionalFormatting sqref="AO138:AO143">
    <cfRule type="expression" dxfId="1890" priority="1816">
      <formula>$BD138+$BO138=0</formula>
    </cfRule>
  </conditionalFormatting>
  <conditionalFormatting sqref="AN138:AN143">
    <cfRule type="expression" dxfId="1889" priority="1815">
      <formula>$BD138+$BO138=0</formula>
    </cfRule>
  </conditionalFormatting>
  <conditionalFormatting sqref="AN138:AO143">
    <cfRule type="expression" dxfId="1888" priority="1811">
      <formula>$AH138=$BW$141</formula>
    </cfRule>
    <cfRule type="expression" dxfId="1887" priority="1812">
      <formula>$AH138=$BV$141</formula>
    </cfRule>
    <cfRule type="expression" dxfId="1886" priority="1813">
      <formula>$AH138=$BU$141</formula>
    </cfRule>
    <cfRule type="expression" dxfId="1885" priority="1814">
      <formula>$AH138=$BT$141</formula>
    </cfRule>
  </conditionalFormatting>
  <conditionalFormatting sqref="AO138:AO143">
    <cfRule type="expression" dxfId="1884" priority="1809">
      <formula>$BD138+$BO138=0</formula>
    </cfRule>
  </conditionalFormatting>
  <conditionalFormatting sqref="AN138:AN143">
    <cfRule type="expression" dxfId="1883" priority="1808">
      <formula>$BD138+$BO138=0</formula>
    </cfRule>
  </conditionalFormatting>
  <conditionalFormatting sqref="AN138:AO143">
    <cfRule type="expression" dxfId="1882" priority="1803">
      <formula>$AH138=$BX$141</formula>
    </cfRule>
    <cfRule type="expression" dxfId="1881" priority="1804">
      <formula>$AH138=$BW$141</formula>
    </cfRule>
    <cfRule type="expression" dxfId="1880" priority="1805">
      <formula>$AH138=$BV$141</formula>
    </cfRule>
    <cfRule type="expression" dxfId="1879" priority="1806">
      <formula>$AH138=$BU$141</formula>
    </cfRule>
    <cfRule type="expression" dxfId="1878" priority="1807">
      <formula>$AH138=$BT$141</formula>
    </cfRule>
  </conditionalFormatting>
  <conditionalFormatting sqref="N104">
    <cfRule type="containsText" dxfId="1877" priority="1802" operator="containsText" text=":">
      <formula>NOT(ISERROR(SEARCH(":",N104)))</formula>
    </cfRule>
  </conditionalFormatting>
  <conditionalFormatting sqref="Q104">
    <cfRule type="containsText" dxfId="1876" priority="1801" operator="containsText" text=":">
      <formula>NOT(ISERROR(SEARCH(":",Q104)))</formula>
    </cfRule>
  </conditionalFormatting>
  <conditionalFormatting sqref="AJ104:AL110">
    <cfRule type="expression" dxfId="1875" priority="1800">
      <formula>$AJ104+$AL104&gt;0</formula>
    </cfRule>
  </conditionalFormatting>
  <conditionalFormatting sqref="AH115:AI121">
    <cfRule type="expression" dxfId="1874" priority="1799">
      <formula>$AJ115+$AL115&gt;0</formula>
    </cfRule>
  </conditionalFormatting>
  <conditionalFormatting sqref="AH115:AI121">
    <cfRule type="expression" dxfId="1873" priority="1794">
      <formula>$AH115=$BX$119</formula>
    </cfRule>
    <cfRule type="expression" dxfId="1872" priority="1795">
      <formula>$AH115=$BW$119</formula>
    </cfRule>
    <cfRule type="expression" dxfId="1871" priority="1796">
      <formula>$AH115=$BV$119</formula>
    </cfRule>
    <cfRule type="expression" dxfId="1870" priority="1797">
      <formula>$AH115=$BU$119</formula>
    </cfRule>
    <cfRule type="expression" dxfId="1869" priority="1798">
      <formula>$AH115=$BT$119</formula>
    </cfRule>
  </conditionalFormatting>
  <conditionalFormatting sqref="AJ115:AL121">
    <cfRule type="expression" dxfId="1868" priority="1793">
      <formula>$AJ115+$AL115&gt;0</formula>
    </cfRule>
  </conditionalFormatting>
  <conditionalFormatting sqref="AH126:AI132">
    <cfRule type="expression" dxfId="1867" priority="1792">
      <formula>$AJ126+$AL126&gt;0</formula>
    </cfRule>
  </conditionalFormatting>
  <conditionalFormatting sqref="AH126:AI132">
    <cfRule type="expression" dxfId="1866" priority="1787">
      <formula>$AH126=$BX$130</formula>
    </cfRule>
    <cfRule type="expression" dxfId="1865" priority="1788">
      <formula>$AH126=$BW$130</formula>
    </cfRule>
    <cfRule type="expression" dxfId="1864" priority="1789">
      <formula>$AH126=$BV$130</formula>
    </cfRule>
    <cfRule type="expression" dxfId="1863" priority="1790">
      <formula>$AH126=$BU$130</formula>
    </cfRule>
    <cfRule type="expression" dxfId="1862" priority="1791">
      <formula>$AH126=$BT$130</formula>
    </cfRule>
  </conditionalFormatting>
  <conditionalFormatting sqref="AJ126:AL132">
    <cfRule type="expression" dxfId="1861" priority="1786">
      <formula>$AJ126+$AL126&gt;0</formula>
    </cfRule>
  </conditionalFormatting>
  <conditionalFormatting sqref="AH137:AI143">
    <cfRule type="expression" dxfId="1860" priority="1785">
      <formula>$AJ137+$AL137&gt;0</formula>
    </cfRule>
  </conditionalFormatting>
  <conditionalFormatting sqref="AH137:AI143">
    <cfRule type="expression" dxfId="1859" priority="1780">
      <formula>$AH137=$BX$141</formula>
    </cfRule>
    <cfRule type="expression" dxfId="1858" priority="1781">
      <formula>$AH137=$BW$141</formula>
    </cfRule>
    <cfRule type="expression" dxfId="1857" priority="1782">
      <formula>$AH137=$BV$141</formula>
    </cfRule>
    <cfRule type="expression" dxfId="1856" priority="1783">
      <formula>$AH137=$BU$141</formula>
    </cfRule>
    <cfRule type="expression" dxfId="1855" priority="1784">
      <formula>$AH137=$BT$141</formula>
    </cfRule>
  </conditionalFormatting>
  <conditionalFormatting sqref="AJ137:AL143">
    <cfRule type="expression" dxfId="1854" priority="1779">
      <formula>$AJ137+$AL137&gt;0</formula>
    </cfRule>
  </conditionalFormatting>
  <conditionalFormatting sqref="M104:O104 J105:L105">
    <cfRule type="expression" dxfId="1853" priority="1774">
      <formula>AND($AH$104=$AH$105,$AH$104=$BX$108)</formula>
    </cfRule>
    <cfRule type="expression" dxfId="1852" priority="1775">
      <formula>AND($AH$104=$AH$105,$AH$104=$BW$108)</formula>
    </cfRule>
    <cfRule type="expression" dxfId="1851" priority="1776">
      <formula>AND($AH$104=$AH$105,$AH$104=$BV$108)</formula>
    </cfRule>
    <cfRule type="expression" dxfId="1850" priority="1777">
      <formula>AND($AH$104=$AH$105,$AH$104=$BU$108)</formula>
    </cfRule>
    <cfRule type="expression" dxfId="1849" priority="1778">
      <formula>AND($AH$104=$AH$105,$AH$104=$BT$108)</formula>
    </cfRule>
  </conditionalFormatting>
  <conditionalFormatting sqref="P104:R104 J106:L106">
    <cfRule type="expression" dxfId="1848" priority="1769">
      <formula>AND($AH$104=$AH$106,$AH$104=$BX$108)</formula>
    </cfRule>
    <cfRule type="expression" dxfId="1847" priority="1770">
      <formula>AND($AH$104=$AH$106,$AH$104=$BW$108)</formula>
    </cfRule>
    <cfRule type="expression" dxfId="1846" priority="1771">
      <formula>AND($AH$104=$AH$106,$AH$104=$BV$108)</formula>
    </cfRule>
    <cfRule type="expression" dxfId="1845" priority="1772">
      <formula>AND($AH$104=$AH$106,$AH$104=$BU$108)</formula>
    </cfRule>
    <cfRule type="expression" dxfId="1844" priority="1773">
      <formula>AND($AH$104=$AH$106,$AH$104=$BT$108)</formula>
    </cfRule>
  </conditionalFormatting>
  <conditionalFormatting sqref="T104">
    <cfRule type="containsText" dxfId="1843" priority="1768" operator="containsText" text=":">
      <formula>NOT(ISERROR(SEARCH(":",T104)))</formula>
    </cfRule>
  </conditionalFormatting>
  <conditionalFormatting sqref="K107">
    <cfRule type="containsText" dxfId="1842" priority="1762" operator="containsText" text=":">
      <formula>NOT(ISERROR(SEARCH(":",K107)))</formula>
    </cfRule>
  </conditionalFormatting>
  <conditionalFormatting sqref="S104:U104 J107:L107">
    <cfRule type="expression" dxfId="1841" priority="1763">
      <formula>AND($AH$104=$AH$107,$AH$104=$BX$108)</formula>
    </cfRule>
    <cfRule type="expression" dxfId="1840" priority="1764">
      <formula>AND($AH$104=$AH$107,$AH$104=$BW$108)</formula>
    </cfRule>
    <cfRule type="expression" dxfId="1839" priority="1765">
      <formula>AND($AH$104=$AH$107,$AH$104=$BV$108)</formula>
    </cfRule>
    <cfRule type="expression" dxfId="1838" priority="1766">
      <formula>AND($AH$104=$AH$107,$AH$104=$BU$108)</formula>
    </cfRule>
    <cfRule type="expression" dxfId="1837" priority="1767">
      <formula>AND($AH$104=$AH$107,$AH$104=$BT$108)</formula>
    </cfRule>
  </conditionalFormatting>
  <conditionalFormatting sqref="W104">
    <cfRule type="containsText" dxfId="1836" priority="1761" operator="containsText" text=":">
      <formula>NOT(ISERROR(SEARCH(":",W104)))</formula>
    </cfRule>
  </conditionalFormatting>
  <conditionalFormatting sqref="K108">
    <cfRule type="containsText" dxfId="1835" priority="1755" operator="containsText" text=":">
      <formula>NOT(ISERROR(SEARCH(":",K108)))</formula>
    </cfRule>
  </conditionalFormatting>
  <conditionalFormatting sqref="V104:X104 J108:L108">
    <cfRule type="expression" dxfId="1834" priority="1756">
      <formula>AND($AH$104=$AH$108,$AH$104=$BX$108)</formula>
    </cfRule>
    <cfRule type="expression" dxfId="1833" priority="1757">
      <formula>AND($AH$104=$AH$108,$AH$104=$BW$108)</formula>
    </cfRule>
    <cfRule type="expression" dxfId="1832" priority="1758">
      <formula>AND($AH$104=$AH$108,$AH$104=$BV$108)</formula>
    </cfRule>
    <cfRule type="expression" dxfId="1831" priority="1759">
      <formula>AND($AH$104=$AH$108,$AH$104=$BU$108)</formula>
    </cfRule>
    <cfRule type="expression" dxfId="1830" priority="1760">
      <formula>AND($AH$104=$AH$108,$AH$104=$BT$108)</formula>
    </cfRule>
  </conditionalFormatting>
  <conditionalFormatting sqref="Z104">
    <cfRule type="containsText" dxfId="1829" priority="1754" operator="containsText" text=":">
      <formula>NOT(ISERROR(SEARCH(":",Z104)))</formula>
    </cfRule>
  </conditionalFormatting>
  <conditionalFormatting sqref="K109">
    <cfRule type="containsText" dxfId="1828" priority="1748" operator="containsText" text=":">
      <formula>NOT(ISERROR(SEARCH(":",K109)))</formula>
    </cfRule>
  </conditionalFormatting>
  <conditionalFormatting sqref="Y104:AA104 J109:L109">
    <cfRule type="expression" dxfId="1827" priority="1749">
      <formula>AND($AH$104=$AH$109,$AH$104=$BX$108)</formula>
    </cfRule>
    <cfRule type="expression" dxfId="1826" priority="1750">
      <formula>AND($AH$104=$AH$109,$AH$104=$BW$108)</formula>
    </cfRule>
    <cfRule type="expression" dxfId="1825" priority="1751">
      <formula>AND($AH$104=$AH$109,$AH$104=$BV$108)</formula>
    </cfRule>
    <cfRule type="expression" dxfId="1824" priority="1752">
      <formula>AND($AH$104=$AH$109,$AH$104=$BU$108)</formula>
    </cfRule>
    <cfRule type="expression" dxfId="1823" priority="1753">
      <formula>AND($AH$104=$AH$109,$AH$104=$BT$108)</formula>
    </cfRule>
  </conditionalFormatting>
  <conditionalFormatting sqref="AC104">
    <cfRule type="containsText" dxfId="1822" priority="1747" operator="containsText" text=":">
      <formula>NOT(ISERROR(SEARCH(":",AC104)))</formula>
    </cfRule>
  </conditionalFormatting>
  <conditionalFormatting sqref="K110">
    <cfRule type="containsText" dxfId="1821" priority="1741" operator="containsText" text=":">
      <formula>NOT(ISERROR(SEARCH(":",K110)))</formula>
    </cfRule>
  </conditionalFormatting>
  <conditionalFormatting sqref="AB104:AD104 J110:L110">
    <cfRule type="expression" dxfId="1820" priority="1742">
      <formula>AND($AH$104=$AH$110,$AH$104=$BX$108)</formula>
    </cfRule>
    <cfRule type="expression" dxfId="1819" priority="1743">
      <formula>AND($AH$104=$AH$110,$AH$104=$BW$108)</formula>
    </cfRule>
    <cfRule type="expression" dxfId="1818" priority="1744">
      <formula>AND($AH$104=$AH$110,$AH$104=$BV$108)</formula>
    </cfRule>
    <cfRule type="expression" dxfId="1817" priority="1745">
      <formula>AND($AH$104=$AH$110,$AH$104=$BU$108)</formula>
    </cfRule>
    <cfRule type="expression" dxfId="1816" priority="1746">
      <formula>AND($AH$104=$AH$110,$AH$104=$BT$108)</formula>
    </cfRule>
  </conditionalFormatting>
  <conditionalFormatting sqref="Q105">
    <cfRule type="containsText" dxfId="1815" priority="1740" operator="containsText" text=":">
      <formula>NOT(ISERROR(SEARCH(":",Q105)))</formula>
    </cfRule>
  </conditionalFormatting>
  <conditionalFormatting sqref="N106">
    <cfRule type="containsText" dxfId="1814" priority="1734" operator="containsText" text=":">
      <formula>NOT(ISERROR(SEARCH(":",N106)))</formula>
    </cfRule>
  </conditionalFormatting>
  <conditionalFormatting sqref="P105:R105 M106:O106">
    <cfRule type="expression" dxfId="1813" priority="1735">
      <formula>AND($AH$105=$AH$106,$AH$105=$BX$108)</formula>
    </cfRule>
    <cfRule type="expression" dxfId="1812" priority="1736">
      <formula>AND($AH$105=$AH$106,$AH$105=$BW$108)</formula>
    </cfRule>
    <cfRule type="expression" dxfId="1811" priority="1737">
      <formula>AND($AH$105=$AH$106,$AH$105=$BV$108)</formula>
    </cfRule>
    <cfRule type="expression" dxfId="1810" priority="1738">
      <formula>AND($AH$105=$AH$106,$AH$105=$BU$108)</formula>
    </cfRule>
    <cfRule type="expression" dxfId="1809" priority="1739">
      <formula>AND($AH$105=$AH$106,$AH$105=$BT$108)</formula>
    </cfRule>
  </conditionalFormatting>
  <conditionalFormatting sqref="T105">
    <cfRule type="containsText" dxfId="1808" priority="1733" operator="containsText" text=":">
      <formula>NOT(ISERROR(SEARCH(":",T105)))</formula>
    </cfRule>
  </conditionalFormatting>
  <conditionalFormatting sqref="N107">
    <cfRule type="containsText" dxfId="1807" priority="1727" operator="containsText" text=":">
      <formula>NOT(ISERROR(SEARCH(":",N107)))</formula>
    </cfRule>
  </conditionalFormatting>
  <conditionalFormatting sqref="S105:U105 M107:O107">
    <cfRule type="expression" dxfId="1806" priority="1728">
      <formula>AND($AH$105=$AH$107,$AH$105=$BX$108)</formula>
    </cfRule>
    <cfRule type="expression" dxfId="1805" priority="1729">
      <formula>AND($AH$105=$AH$107,$AH$105=$BW$108)</formula>
    </cfRule>
    <cfRule type="expression" dxfId="1804" priority="1730">
      <formula>AND($AH$105=$AH$107,$AH$105=$BV$108)</formula>
    </cfRule>
    <cfRule type="expression" dxfId="1803" priority="1731">
      <formula>AND($AH$105=$AH$107,$AH$105=$BU$108)</formula>
    </cfRule>
    <cfRule type="expression" dxfId="1802" priority="1732">
      <formula>AND($AH$105=$AH$107,$AH$105=$BT$108)</formula>
    </cfRule>
  </conditionalFormatting>
  <conditionalFormatting sqref="W105">
    <cfRule type="containsText" dxfId="1801" priority="1726" operator="containsText" text=":">
      <formula>NOT(ISERROR(SEARCH(":",W105)))</formula>
    </cfRule>
  </conditionalFormatting>
  <conditionalFormatting sqref="N108">
    <cfRule type="containsText" dxfId="1800" priority="1720" operator="containsText" text=":">
      <formula>NOT(ISERROR(SEARCH(":",N108)))</formula>
    </cfRule>
  </conditionalFormatting>
  <conditionalFormatting sqref="V105:X105 M108:O108">
    <cfRule type="expression" dxfId="1799" priority="1721">
      <formula>AND($AH$105=$AH$108,$AH$105=$BX$108)</formula>
    </cfRule>
    <cfRule type="expression" dxfId="1798" priority="1722">
      <formula>AND($AH$105=$AH$108,$AH$105=$BW$108)</formula>
    </cfRule>
    <cfRule type="expression" dxfId="1797" priority="1723">
      <formula>AND($AH$105=$AH$108,$AH$105=$BV$108)</formula>
    </cfRule>
    <cfRule type="expression" dxfId="1796" priority="1724">
      <formula>AND($AH$105=$AH$108,$AH$105=$BU$108)</formula>
    </cfRule>
    <cfRule type="expression" dxfId="1795" priority="1725">
      <formula>AND($AH$105=$AH$108,$AH$105=$BT$108)</formula>
    </cfRule>
  </conditionalFormatting>
  <conditionalFormatting sqref="Z105">
    <cfRule type="containsText" dxfId="1794" priority="1719" operator="containsText" text=":">
      <formula>NOT(ISERROR(SEARCH(":",Z105)))</formula>
    </cfRule>
  </conditionalFormatting>
  <conditionalFormatting sqref="N109">
    <cfRule type="containsText" dxfId="1793" priority="1713" operator="containsText" text=":">
      <formula>NOT(ISERROR(SEARCH(":",N109)))</formula>
    </cfRule>
  </conditionalFormatting>
  <conditionalFormatting sqref="Y105:AA105 M109:O109">
    <cfRule type="expression" dxfId="1792" priority="1714">
      <formula>AND($AH$105=$AH$109,$AH$105=$BX$108)</formula>
    </cfRule>
    <cfRule type="expression" dxfId="1791" priority="1715">
      <formula>AND($AH$105=$AH$109,$AH$105=$BW$108)</formula>
    </cfRule>
    <cfRule type="expression" dxfId="1790" priority="1716">
      <formula>AND($AH$105=$AH$109,$AH$105=$BV$108)</formula>
    </cfRule>
    <cfRule type="expression" dxfId="1789" priority="1717">
      <formula>AND($AH$105=$AH$109,$AH$105=$BU$108)</formula>
    </cfRule>
    <cfRule type="expression" dxfId="1788" priority="1718">
      <formula>AND($AH$105=$AH$109,$AH$105=$BT$108)</formula>
    </cfRule>
  </conditionalFormatting>
  <conditionalFormatting sqref="AC105">
    <cfRule type="containsText" dxfId="1787" priority="1712" operator="containsText" text=":">
      <formula>NOT(ISERROR(SEARCH(":",AC105)))</formula>
    </cfRule>
  </conditionalFormatting>
  <conditionalFormatting sqref="N110">
    <cfRule type="containsText" dxfId="1786" priority="1706" operator="containsText" text=":">
      <formula>NOT(ISERROR(SEARCH(":",N110)))</formula>
    </cfRule>
  </conditionalFormatting>
  <conditionalFormatting sqref="AB105:AD105 M110:O110">
    <cfRule type="expression" dxfId="1785" priority="1707">
      <formula>AND($AH$105=$AH$110,$AH$105=$BX$108)</formula>
    </cfRule>
    <cfRule type="expression" dxfId="1784" priority="1708">
      <formula>AND($AH$105=$AH$110,$AH$105=$BW$108)</formula>
    </cfRule>
    <cfRule type="expression" dxfId="1783" priority="1709">
      <formula>AND($AH$105=$AH$110,$AH$105=$BV$108)</formula>
    </cfRule>
    <cfRule type="expression" dxfId="1782" priority="1710">
      <formula>AND($AH$105=$AH$110,$AH$105=$BU$108)</formula>
    </cfRule>
    <cfRule type="expression" dxfId="1781" priority="1711">
      <formula>AND($AH$105=$AH$110,$AH$105=$BT$108)</formula>
    </cfRule>
  </conditionalFormatting>
  <conditionalFormatting sqref="T106">
    <cfRule type="containsText" dxfId="1780" priority="1705" operator="containsText" text=":">
      <formula>NOT(ISERROR(SEARCH(":",T106)))</formula>
    </cfRule>
  </conditionalFormatting>
  <conditionalFormatting sqref="Q107">
    <cfRule type="containsText" dxfId="1779" priority="1699" operator="containsText" text=":">
      <formula>NOT(ISERROR(SEARCH(":",Q107)))</formula>
    </cfRule>
  </conditionalFormatting>
  <conditionalFormatting sqref="S106:U106 P107:R107">
    <cfRule type="expression" dxfId="1778" priority="1700">
      <formula>AND($AH$106=$AH$107,$AH$106=$BX$108)</formula>
    </cfRule>
    <cfRule type="expression" dxfId="1777" priority="1701">
      <formula>AND($AH$106=$AH$107,$AH$106=$BW$108)</formula>
    </cfRule>
    <cfRule type="expression" dxfId="1776" priority="1702">
      <formula>AND($AH$106=$AH$107,$AH$106=$BV$108)</formula>
    </cfRule>
    <cfRule type="expression" dxfId="1775" priority="1703">
      <formula>AND($AH$106=$AH$107,$AH$106=$BU$108)</formula>
    </cfRule>
    <cfRule type="expression" dxfId="1774" priority="1704">
      <formula>AND($AH$106=$AH$107,$AH$106=$BT$108)</formula>
    </cfRule>
  </conditionalFormatting>
  <conditionalFormatting sqref="W106">
    <cfRule type="containsText" dxfId="1773" priority="1698" operator="containsText" text=":">
      <formula>NOT(ISERROR(SEARCH(":",W106)))</formula>
    </cfRule>
  </conditionalFormatting>
  <conditionalFormatting sqref="Q108">
    <cfRule type="containsText" dxfId="1772" priority="1692" operator="containsText" text=":">
      <formula>NOT(ISERROR(SEARCH(":",Q108)))</formula>
    </cfRule>
  </conditionalFormatting>
  <conditionalFormatting sqref="V106:X106 P108:R108">
    <cfRule type="expression" dxfId="1771" priority="1693">
      <formula>AND($AH$106=$AH$108,$AH$106=$BX$108)</formula>
    </cfRule>
    <cfRule type="expression" dxfId="1770" priority="1694">
      <formula>AND($AH$106=$AH$108,$AH$106=$BW$108)</formula>
    </cfRule>
    <cfRule type="expression" dxfId="1769" priority="1695">
      <formula>AND($AH$106=$AH$108,$AH$106=$BV$108)</formula>
    </cfRule>
    <cfRule type="expression" dxfId="1768" priority="1696">
      <formula>AND($AH$106=$AH$108,$AH$106=$BU$108)</formula>
    </cfRule>
    <cfRule type="expression" dxfId="1767" priority="1697">
      <formula>AND($AH$106=$AH$108,$AH$106=$BT$108)</formula>
    </cfRule>
  </conditionalFormatting>
  <conditionalFormatting sqref="Z106">
    <cfRule type="containsText" dxfId="1766" priority="1691" operator="containsText" text=":">
      <formula>NOT(ISERROR(SEARCH(":",Z106)))</formula>
    </cfRule>
  </conditionalFormatting>
  <conditionalFormatting sqref="Q109">
    <cfRule type="containsText" dxfId="1765" priority="1685" operator="containsText" text=":">
      <formula>NOT(ISERROR(SEARCH(":",Q109)))</formula>
    </cfRule>
  </conditionalFormatting>
  <conditionalFormatting sqref="Y106:AA106 P109:R109">
    <cfRule type="expression" dxfId="1764" priority="1686">
      <formula>AND($AH$106=$AH$109,$AH$106=$BX$108)</formula>
    </cfRule>
    <cfRule type="expression" dxfId="1763" priority="1687">
      <formula>AND($AH$106=$AH$109,$AH$106=$BW$108)</formula>
    </cfRule>
    <cfRule type="expression" dxfId="1762" priority="1688">
      <formula>AND($AH$106=$AH$109,$AH$106=$BV$108)</formula>
    </cfRule>
    <cfRule type="expression" dxfId="1761" priority="1689">
      <formula>AND($AH$106=$AH$109,$AH$106=$BU$108)</formula>
    </cfRule>
    <cfRule type="expression" dxfId="1760" priority="1690">
      <formula>AND($AH$106=$AH$109,$AH$106=$BT$108)</formula>
    </cfRule>
  </conditionalFormatting>
  <conditionalFormatting sqref="AC106">
    <cfRule type="containsText" dxfId="1759" priority="1684" operator="containsText" text=":">
      <formula>NOT(ISERROR(SEARCH(":",AC106)))</formula>
    </cfRule>
  </conditionalFormatting>
  <conditionalFormatting sqref="Q110">
    <cfRule type="containsText" dxfId="1758" priority="1678" operator="containsText" text=":">
      <formula>NOT(ISERROR(SEARCH(":",Q110)))</formula>
    </cfRule>
  </conditionalFormatting>
  <conditionalFormatting sqref="AB106:AD106 P110:R110">
    <cfRule type="expression" dxfId="1757" priority="1679">
      <formula>AND($AH$106=$AH$110,$AH$106=$BX$108)</formula>
    </cfRule>
    <cfRule type="expression" dxfId="1756" priority="1680">
      <formula>AND($AH$106=$AH$110,$AH$106=$BW$108)</formula>
    </cfRule>
    <cfRule type="expression" dxfId="1755" priority="1681">
      <formula>AND($AH$106=$AH$110,$AH$106=$BV$108)</formula>
    </cfRule>
    <cfRule type="expression" dxfId="1754" priority="1682">
      <formula>AND($AH$106=$AH$110,$AH$106=$BU$108)</formula>
    </cfRule>
    <cfRule type="expression" dxfId="1753" priority="1683">
      <formula>AND($AH$106=$AH$110,$AH$106=$BT$108)</formula>
    </cfRule>
  </conditionalFormatting>
  <conditionalFormatting sqref="W107">
    <cfRule type="containsText" dxfId="1752" priority="1677" operator="containsText" text=":">
      <formula>NOT(ISERROR(SEARCH(":",W107)))</formula>
    </cfRule>
  </conditionalFormatting>
  <conditionalFormatting sqref="T108">
    <cfRule type="containsText" dxfId="1751" priority="1671" operator="containsText" text=":">
      <formula>NOT(ISERROR(SEARCH(":",T108)))</formula>
    </cfRule>
  </conditionalFormatting>
  <conditionalFormatting sqref="V107:X107 S108:U108">
    <cfRule type="expression" dxfId="1750" priority="1672">
      <formula>AND($AH$107=$AH$108,$AH$107=$BX$108)</formula>
    </cfRule>
    <cfRule type="expression" dxfId="1749" priority="1673">
      <formula>AND($AH$107=$AH$108,$AH$107=$BW$108)</formula>
    </cfRule>
    <cfRule type="expression" dxfId="1748" priority="1674">
      <formula>AND($AH$107=$AH$108,$AH$107=$BV$108)</formula>
    </cfRule>
    <cfRule type="expression" dxfId="1747" priority="1675">
      <formula>AND($AH$107=$AH$108,$AH$107=$BU$108)</formula>
    </cfRule>
    <cfRule type="expression" dxfId="1746" priority="1676">
      <formula>AND($AH$107=$AH$108,$AH$107=$BT$108)</formula>
    </cfRule>
  </conditionalFormatting>
  <conditionalFormatting sqref="Z107">
    <cfRule type="containsText" dxfId="1745" priority="1670" operator="containsText" text=":">
      <formula>NOT(ISERROR(SEARCH(":",Z107)))</formula>
    </cfRule>
  </conditionalFormatting>
  <conditionalFormatting sqref="T109">
    <cfRule type="containsText" dxfId="1744" priority="1664" operator="containsText" text=":">
      <formula>NOT(ISERROR(SEARCH(":",T109)))</formula>
    </cfRule>
  </conditionalFormatting>
  <conditionalFormatting sqref="Y107:AA107 S109:U109">
    <cfRule type="expression" dxfId="1743" priority="1665">
      <formula>AND($AH$107=$AH$109,$AH$107=$BX$108)</formula>
    </cfRule>
    <cfRule type="expression" dxfId="1742" priority="1666">
      <formula>AND($AH$107=$AH$109,$AH$107=$BW$108)</formula>
    </cfRule>
    <cfRule type="expression" dxfId="1741" priority="1667">
      <formula>AND($AH$107=$AH$109,$AH$107=$BV$108)</formula>
    </cfRule>
    <cfRule type="expression" dxfId="1740" priority="1668">
      <formula>AND($AH$107=$AH$109,$AH$107=$BU$108)</formula>
    </cfRule>
    <cfRule type="expression" dxfId="1739" priority="1669">
      <formula>AND($AH$107=$AH$109,$AH$107=$BT$108)</formula>
    </cfRule>
  </conditionalFormatting>
  <conditionalFormatting sqref="AC107">
    <cfRule type="containsText" dxfId="1738" priority="1663" operator="containsText" text=":">
      <formula>NOT(ISERROR(SEARCH(":",AC107)))</formula>
    </cfRule>
  </conditionalFormatting>
  <conditionalFormatting sqref="T110">
    <cfRule type="containsText" dxfId="1737" priority="1657" operator="containsText" text=":">
      <formula>NOT(ISERROR(SEARCH(":",T110)))</formula>
    </cfRule>
  </conditionalFormatting>
  <conditionalFormatting sqref="AB107:AD107 S110:U110">
    <cfRule type="expression" dxfId="1736" priority="1658">
      <formula>AND($AH$107=$AH$110,$AH$107=$BX$108)</formula>
    </cfRule>
    <cfRule type="expression" dxfId="1735" priority="1659">
      <formula>AND($AH$107=$AH$110,$AH$107=$BW$108)</formula>
    </cfRule>
    <cfRule type="expression" dxfId="1734" priority="1660">
      <formula>AND($AH$107=$AH$110,$AH$107=$BV$108)</formula>
    </cfRule>
    <cfRule type="expression" dxfId="1733" priority="1661">
      <formula>AND($AH$107=$AH$110,$AH$107=$BU$108)</formula>
    </cfRule>
    <cfRule type="expression" dxfId="1732" priority="1662">
      <formula>AND($AH$107=$AH$110,$AH$107=$BT$108)</formula>
    </cfRule>
  </conditionalFormatting>
  <conditionalFormatting sqref="Z108">
    <cfRule type="containsText" dxfId="1731" priority="1656" operator="containsText" text=":">
      <formula>NOT(ISERROR(SEARCH(":",Z108)))</formula>
    </cfRule>
  </conditionalFormatting>
  <conditionalFormatting sqref="W109">
    <cfRule type="containsText" dxfId="1730" priority="1650" operator="containsText" text=":">
      <formula>NOT(ISERROR(SEARCH(":",W109)))</formula>
    </cfRule>
  </conditionalFormatting>
  <conditionalFormatting sqref="Y108:AA108 V109:X109">
    <cfRule type="expression" dxfId="1729" priority="1651">
      <formula>AND($AH$108=$AH$109,$AH$108=$BX$108)</formula>
    </cfRule>
    <cfRule type="expression" dxfId="1728" priority="1652">
      <formula>AND($AH$108=$AH$109,$AH$108=$BW$108)</formula>
    </cfRule>
    <cfRule type="expression" dxfId="1727" priority="1653">
      <formula>AND($AH$108=$AH$109,$AH$108=$BV$108)</formula>
    </cfRule>
    <cfRule type="expression" dxfId="1726" priority="1654">
      <formula>AND($AH$108=$AH$109,$AH$108=$BU$108)</formula>
    </cfRule>
    <cfRule type="expression" dxfId="1725" priority="1655">
      <formula>AND($AH$108=$AH$109,$AH$108=$BT$108)</formula>
    </cfRule>
  </conditionalFormatting>
  <conditionalFormatting sqref="AC108">
    <cfRule type="containsText" dxfId="1724" priority="1649" operator="containsText" text=":">
      <formula>NOT(ISERROR(SEARCH(":",AC108)))</formula>
    </cfRule>
  </conditionalFormatting>
  <conditionalFormatting sqref="W110">
    <cfRule type="containsText" dxfId="1723" priority="1643" operator="containsText" text=":">
      <formula>NOT(ISERROR(SEARCH(":",W110)))</formula>
    </cfRule>
  </conditionalFormatting>
  <conditionalFormatting sqref="AB108:AD108 V110:X110">
    <cfRule type="expression" dxfId="1722" priority="1644">
      <formula>AND($AH$108=$AH$110,$AH$108=$BX$108)</formula>
    </cfRule>
    <cfRule type="expression" dxfId="1721" priority="1645">
      <formula>AND($AH$108=$AH$110,$AH$108=$BW$108)</formula>
    </cfRule>
    <cfRule type="expression" dxfId="1720" priority="1646">
      <formula>AND($AH$108=$AH$110,$AH$108=$BV$108)</formula>
    </cfRule>
    <cfRule type="expression" dxfId="1719" priority="1647">
      <formula>AND($AH$108=$AH$110,$AH$108=$BU$108)</formula>
    </cfRule>
    <cfRule type="expression" dxfId="1718" priority="1648">
      <formula>AND($AH$108=$AH$110,$AH$108=$BT$108)</formula>
    </cfRule>
  </conditionalFormatting>
  <conditionalFormatting sqref="AC109">
    <cfRule type="containsText" dxfId="1717" priority="1642" operator="containsText" text=":">
      <formula>NOT(ISERROR(SEARCH(":",AC109)))</formula>
    </cfRule>
  </conditionalFormatting>
  <conditionalFormatting sqref="Z110">
    <cfRule type="containsText" dxfId="1716" priority="1636" operator="containsText" text=":">
      <formula>NOT(ISERROR(SEARCH(":",Z110)))</formula>
    </cfRule>
  </conditionalFormatting>
  <conditionalFormatting sqref="AB109:AD109 Y110:AA110">
    <cfRule type="expression" dxfId="1715" priority="1637">
      <formula>AND($AH$109=$AH$110,$AH$109=$BX$108)</formula>
    </cfRule>
    <cfRule type="expression" dxfId="1714" priority="1638">
      <formula>AND($AH$109=$AH$110,$AH$109=$BW$108)</formula>
    </cfRule>
    <cfRule type="expression" dxfId="1713" priority="1639">
      <formula>AND($AH$109=$AH$110,$AH$109=$BV$108)</formula>
    </cfRule>
    <cfRule type="expression" dxfId="1712" priority="1640">
      <formula>AND($AH$109=$AH$110,$AH$109=$BU$108)</formula>
    </cfRule>
    <cfRule type="expression" dxfId="1711" priority="1641">
      <formula>AND($AH$109=$AH$110,$AH$109=$BT$108)</formula>
    </cfRule>
  </conditionalFormatting>
  <conditionalFormatting sqref="N115">
    <cfRule type="containsText" dxfId="1710" priority="1635" operator="containsText" text=":">
      <formula>NOT(ISERROR(SEARCH(":",N115)))</formula>
    </cfRule>
  </conditionalFormatting>
  <conditionalFormatting sqref="Q115">
    <cfRule type="containsText" dxfId="1709" priority="1634" operator="containsText" text=":">
      <formula>NOT(ISERROR(SEARCH(":",Q115)))</formula>
    </cfRule>
  </conditionalFormatting>
  <conditionalFormatting sqref="M115:O115 J116:L116">
    <cfRule type="expression" dxfId="1708" priority="1629">
      <formula>AND($AH$115=$AH$116,$AH$115=$BX$119)</formula>
    </cfRule>
    <cfRule type="expression" dxfId="1707" priority="1630">
      <formula>AND($AH$115=$AH$116,$AH$115=$BW$119)</formula>
    </cfRule>
    <cfRule type="expression" dxfId="1706" priority="1631">
      <formula>AND($AH$115=$AH$116,$AH$115=$BV$119)</formula>
    </cfRule>
    <cfRule type="expression" dxfId="1705" priority="1632">
      <formula>AND($AH$115=$AH$116,$AH$115=$BU$119)</formula>
    </cfRule>
    <cfRule type="expression" dxfId="1704" priority="1633">
      <formula>AND($AH$115=$AH$116,$AH$115=$BT$119)</formula>
    </cfRule>
  </conditionalFormatting>
  <conditionalFormatting sqref="P115:R115 J117:L117">
    <cfRule type="expression" dxfId="1703" priority="1624">
      <formula>AND($AH$115=$AH$117,$AH$115=$BX$119)</formula>
    </cfRule>
    <cfRule type="expression" dxfId="1702" priority="1625">
      <formula>AND($AH$115=$AH$117,$AH$115=$BW$119)</formula>
    </cfRule>
    <cfRule type="expression" dxfId="1701" priority="1626">
      <formula>AND($AH$115=$AH$117,$AH$115=$BV$119)</formula>
    </cfRule>
    <cfRule type="expression" dxfId="1700" priority="1627">
      <formula>AND($AH$115=$AH$117,$AH$115=$BU$119)</formula>
    </cfRule>
    <cfRule type="expression" dxfId="1699" priority="1628">
      <formula>AND($AH$115=$AH$117,$AH$115=$BT$119)</formula>
    </cfRule>
  </conditionalFormatting>
  <conditionalFormatting sqref="T115">
    <cfRule type="containsText" dxfId="1698" priority="1623" operator="containsText" text=":">
      <formula>NOT(ISERROR(SEARCH(":",T115)))</formula>
    </cfRule>
  </conditionalFormatting>
  <conditionalFormatting sqref="K118">
    <cfRule type="containsText" dxfId="1697" priority="1617" operator="containsText" text=":">
      <formula>NOT(ISERROR(SEARCH(":",K118)))</formula>
    </cfRule>
  </conditionalFormatting>
  <conditionalFormatting sqref="S115:U115 J118:L118">
    <cfRule type="expression" dxfId="1696" priority="1618">
      <formula>AND($AH$115=$AH$118,$AH$115=$BX$119)</formula>
    </cfRule>
    <cfRule type="expression" dxfId="1695" priority="1619">
      <formula>AND($AH$115=$AH$118,$AH$115=$BW$119)</formula>
    </cfRule>
    <cfRule type="expression" dxfId="1694" priority="1620">
      <formula>AND($AH$115=$AH$118,$AH$115=$BV$119)</formula>
    </cfRule>
    <cfRule type="expression" dxfId="1693" priority="1621">
      <formula>AND($AH$115=$AH$118,$AH$115=$BU$119)</formula>
    </cfRule>
    <cfRule type="expression" dxfId="1692" priority="1622">
      <formula>AND($AH$115=$AH$118,$AH$115=$BT$119)</formula>
    </cfRule>
  </conditionalFormatting>
  <conditionalFormatting sqref="W115">
    <cfRule type="containsText" dxfId="1691" priority="1616" operator="containsText" text=":">
      <formula>NOT(ISERROR(SEARCH(":",W115)))</formula>
    </cfRule>
  </conditionalFormatting>
  <conditionalFormatting sqref="K119">
    <cfRule type="containsText" dxfId="1690" priority="1610" operator="containsText" text=":">
      <formula>NOT(ISERROR(SEARCH(":",K119)))</formula>
    </cfRule>
  </conditionalFormatting>
  <conditionalFormatting sqref="V115:X115 J119:L119">
    <cfRule type="expression" dxfId="1689" priority="1611">
      <formula>AND($AH$115=$AH$119,$AH$115=$BX$119)</formula>
    </cfRule>
    <cfRule type="expression" dxfId="1688" priority="1612">
      <formula>AND($AH$115=$AH$119,$AH$115=$BW$119)</formula>
    </cfRule>
    <cfRule type="expression" dxfId="1687" priority="1613">
      <formula>AND($AH$115=$AH$119,$AH$115=$BV$119)</formula>
    </cfRule>
    <cfRule type="expression" dxfId="1686" priority="1614">
      <formula>AND($AH$115=$AH$119,$AH$115=$BU$119)</formula>
    </cfRule>
    <cfRule type="expression" dxfId="1685" priority="1615">
      <formula>AND($AH$115=$AH$119,$AH$115=$BT$119)</formula>
    </cfRule>
  </conditionalFormatting>
  <conditionalFormatting sqref="Z115">
    <cfRule type="containsText" dxfId="1684" priority="1609" operator="containsText" text=":">
      <formula>NOT(ISERROR(SEARCH(":",Z115)))</formula>
    </cfRule>
  </conditionalFormatting>
  <conditionalFormatting sqref="K120">
    <cfRule type="containsText" dxfId="1683" priority="1603" operator="containsText" text=":">
      <formula>NOT(ISERROR(SEARCH(":",K120)))</formula>
    </cfRule>
  </conditionalFormatting>
  <conditionalFormatting sqref="Y115:AA115 J120:L120">
    <cfRule type="expression" dxfId="1682" priority="1604">
      <formula>AND($AH$115=$AH$120,$AH$115=$BX$119)</formula>
    </cfRule>
    <cfRule type="expression" dxfId="1681" priority="1605">
      <formula>AND($AH$115=$AH$120,$AH$115=$BW$119)</formula>
    </cfRule>
    <cfRule type="expression" dxfId="1680" priority="1606">
      <formula>AND($AH$115=$AH$120,$AH$115=$BV$119)</formula>
    </cfRule>
    <cfRule type="expression" dxfId="1679" priority="1607">
      <formula>AND($AH$115=$AH$120,$AH$115=$BU$119)</formula>
    </cfRule>
    <cfRule type="expression" dxfId="1678" priority="1608">
      <formula>AND($AH$115=$AH$120,$AH$115=$BT$119)</formula>
    </cfRule>
  </conditionalFormatting>
  <conditionalFormatting sqref="AC115">
    <cfRule type="containsText" dxfId="1677" priority="1602" operator="containsText" text=":">
      <formula>NOT(ISERROR(SEARCH(":",AC115)))</formula>
    </cfRule>
  </conditionalFormatting>
  <conditionalFormatting sqref="K121">
    <cfRule type="containsText" dxfId="1676" priority="1596" operator="containsText" text=":">
      <formula>NOT(ISERROR(SEARCH(":",K121)))</formula>
    </cfRule>
  </conditionalFormatting>
  <conditionalFormatting sqref="AB115:AD115 J121:L121">
    <cfRule type="expression" dxfId="1675" priority="1597">
      <formula>AND($AH$115=$AH$121,$AH$115=$BX$119)</formula>
    </cfRule>
    <cfRule type="expression" dxfId="1674" priority="1598">
      <formula>AND($AH$115=$AH$121,$AH$115=$BW$119)</formula>
    </cfRule>
    <cfRule type="expression" dxfId="1673" priority="1599">
      <formula>AND($AH$115=$AH$121,$AH$115=$BV$119)</formula>
    </cfRule>
    <cfRule type="expression" dxfId="1672" priority="1600">
      <formula>AND($AH$115=$AH$121,$AH$115=$BU$119)</formula>
    </cfRule>
    <cfRule type="expression" dxfId="1671" priority="1601">
      <formula>AND($AH$115=$AH$121,$AH$115=$BT$119)</formula>
    </cfRule>
  </conditionalFormatting>
  <conditionalFormatting sqref="Q116">
    <cfRule type="containsText" dxfId="1670" priority="1595" operator="containsText" text=":">
      <formula>NOT(ISERROR(SEARCH(":",Q116)))</formula>
    </cfRule>
  </conditionalFormatting>
  <conditionalFormatting sqref="N117">
    <cfRule type="containsText" dxfId="1669" priority="1589" operator="containsText" text=":">
      <formula>NOT(ISERROR(SEARCH(":",N117)))</formula>
    </cfRule>
  </conditionalFormatting>
  <conditionalFormatting sqref="P116:R116 M117:O117">
    <cfRule type="expression" dxfId="1668" priority="1590">
      <formula>AND($AH$116=$AH$117,$AH$116=$BX$119)</formula>
    </cfRule>
    <cfRule type="expression" dxfId="1667" priority="1591">
      <formula>AND($AH$116=$AH$117,$AH$116=$BW$119)</formula>
    </cfRule>
    <cfRule type="expression" dxfId="1666" priority="1592">
      <formula>AND($AH$116=$AH$117,$AH$116=$BV$119)</formula>
    </cfRule>
    <cfRule type="expression" dxfId="1665" priority="1593">
      <formula>AND($AH$116=$AH$117,$AH$116=$BU$119)</formula>
    </cfRule>
    <cfRule type="expression" dxfId="1664" priority="1594">
      <formula>AND($AH$116=$AH$117,$AH$116=$BT$119)</formula>
    </cfRule>
  </conditionalFormatting>
  <conditionalFormatting sqref="N118">
    <cfRule type="containsText" dxfId="1663" priority="1583" operator="containsText" text=":">
      <formula>NOT(ISERROR(SEARCH(":",N118)))</formula>
    </cfRule>
  </conditionalFormatting>
  <conditionalFormatting sqref="S116 M118:O118 U116">
    <cfRule type="expression" dxfId="1662" priority="1584">
      <formula>AND($AH$116=$AH$118,$AH$116=$BX$119)</formula>
    </cfRule>
    <cfRule type="expression" dxfId="1661" priority="1585">
      <formula>AND($AH$116=$AH$118,$AH$116=$BW$119)</formula>
    </cfRule>
    <cfRule type="expression" dxfId="1660" priority="1586">
      <formula>AND($AH$116=$AH$118,$AH$116=$BV$119)</formula>
    </cfRule>
    <cfRule type="expression" dxfId="1659" priority="1587">
      <formula>AND($AH$116=$AH$118,$AH$116=$BU$119)</formula>
    </cfRule>
    <cfRule type="expression" dxfId="1658" priority="1588">
      <formula>AND($AH$116=$AH$118,$AH$116=$BT$119)</formula>
    </cfRule>
  </conditionalFormatting>
  <conditionalFormatting sqref="W116">
    <cfRule type="containsText" dxfId="1657" priority="1582" operator="containsText" text=":">
      <formula>NOT(ISERROR(SEARCH(":",W116)))</formula>
    </cfRule>
  </conditionalFormatting>
  <conditionalFormatting sqref="N119">
    <cfRule type="containsText" dxfId="1656" priority="1576" operator="containsText" text=":">
      <formula>NOT(ISERROR(SEARCH(":",N119)))</formula>
    </cfRule>
  </conditionalFormatting>
  <conditionalFormatting sqref="V116:X116 M119:O119">
    <cfRule type="expression" dxfId="1655" priority="1577">
      <formula>AND($AH$116=$AH$119,$AH$116=$BX$119)</formula>
    </cfRule>
    <cfRule type="expression" dxfId="1654" priority="1578">
      <formula>AND($AH$116=$AH$119,$AH$116=$BW$119)</formula>
    </cfRule>
    <cfRule type="expression" dxfId="1653" priority="1579">
      <formula>AND($AH$116=$AH$119,$AH$116=$BV$119)</formula>
    </cfRule>
    <cfRule type="expression" dxfId="1652" priority="1580">
      <formula>AND($AH$116=$AH$119,$AH$116=$BU$119)</formula>
    </cfRule>
    <cfRule type="expression" dxfId="1651" priority="1581">
      <formula>AND($AH$116=$AH$119,$AH$116=$BT$119)</formula>
    </cfRule>
  </conditionalFormatting>
  <conditionalFormatting sqref="Z116">
    <cfRule type="containsText" dxfId="1650" priority="1575" operator="containsText" text=":">
      <formula>NOT(ISERROR(SEARCH(":",Z116)))</formula>
    </cfRule>
  </conditionalFormatting>
  <conditionalFormatting sqref="N120">
    <cfRule type="containsText" dxfId="1649" priority="1569" operator="containsText" text=":">
      <formula>NOT(ISERROR(SEARCH(":",N120)))</formula>
    </cfRule>
  </conditionalFormatting>
  <conditionalFormatting sqref="Y116:AA116 M120:O120">
    <cfRule type="expression" dxfId="1648" priority="1570">
      <formula>AND($AH$116=$AH$120,$AH$116=$BX$119)</formula>
    </cfRule>
    <cfRule type="expression" dxfId="1647" priority="1571">
      <formula>AND($AH$116=$AH$120,$AH$116=$BW$119)</formula>
    </cfRule>
    <cfRule type="expression" dxfId="1646" priority="1572">
      <formula>AND($AH$116=$AH$120,$AH$116=$BV$119)</formula>
    </cfRule>
    <cfRule type="expression" dxfId="1645" priority="1573">
      <formula>AND($AH$116=$AH$120,$AH$116=$BU$119)</formula>
    </cfRule>
    <cfRule type="expression" dxfId="1644" priority="1574">
      <formula>AND($AH$116=$AH$120,$AH$116=$BT$119)</formula>
    </cfRule>
  </conditionalFormatting>
  <conditionalFormatting sqref="AC116">
    <cfRule type="containsText" dxfId="1643" priority="1568" operator="containsText" text=":">
      <formula>NOT(ISERROR(SEARCH(":",AC116)))</formula>
    </cfRule>
  </conditionalFormatting>
  <conditionalFormatting sqref="N121">
    <cfRule type="containsText" dxfId="1642" priority="1562" operator="containsText" text=":">
      <formula>NOT(ISERROR(SEARCH(":",N121)))</formula>
    </cfRule>
  </conditionalFormatting>
  <conditionalFormatting sqref="AB116:AD116 M121:O121">
    <cfRule type="expression" dxfId="1641" priority="1563">
      <formula>AND($AH$116=$AH$121,$AH$116=$BX$119)</formula>
    </cfRule>
    <cfRule type="expression" dxfId="1640" priority="1564">
      <formula>AND($AH$116=$AH$121,$AH$116=$BW$119)</formula>
    </cfRule>
    <cfRule type="expression" dxfId="1639" priority="1565">
      <formula>AND($AH$116=$AH$121,$AH$116=$BV$119)</formula>
    </cfRule>
    <cfRule type="expression" dxfId="1638" priority="1566">
      <formula>AND($AH$116=$AH$121,$AH$116=$BU$119)</formula>
    </cfRule>
    <cfRule type="expression" dxfId="1637" priority="1567">
      <formula>AND($AH$116=$AH$121,$AH$116=$BT$119)</formula>
    </cfRule>
  </conditionalFormatting>
  <conditionalFormatting sqref="Q118">
    <cfRule type="containsText" dxfId="1636" priority="1556" operator="containsText" text=":">
      <formula>NOT(ISERROR(SEARCH(":",Q118)))</formula>
    </cfRule>
  </conditionalFormatting>
  <conditionalFormatting sqref="S117 P118:R118 U117">
    <cfRule type="expression" dxfId="1635" priority="1557">
      <formula>AND($AH$117=$AH$118,$AH$117=$BX$119)</formula>
    </cfRule>
    <cfRule type="expression" dxfId="1634" priority="1558">
      <formula>AND($AH$117=$AH$118,$AH$117=$BW$119)</formula>
    </cfRule>
    <cfRule type="expression" dxfId="1633" priority="1559">
      <formula>AND($AH$117=$AH$118,$AH$117=$BV$119)</formula>
    </cfRule>
    <cfRule type="expression" dxfId="1632" priority="1560">
      <formula>AND($AH$117=$AH$118,$AH$117=$BU$119)</formula>
    </cfRule>
    <cfRule type="expression" dxfId="1631" priority="1561">
      <formula>AND($AH$117=$AH$118,$AH$117=$BT$119)</formula>
    </cfRule>
  </conditionalFormatting>
  <conditionalFormatting sqref="W117">
    <cfRule type="containsText" dxfId="1630" priority="1555" operator="containsText" text=":">
      <formula>NOT(ISERROR(SEARCH(":",W117)))</formula>
    </cfRule>
  </conditionalFormatting>
  <conditionalFormatting sqref="Q119">
    <cfRule type="containsText" dxfId="1629" priority="1549" operator="containsText" text=":">
      <formula>NOT(ISERROR(SEARCH(":",Q119)))</formula>
    </cfRule>
  </conditionalFormatting>
  <conditionalFormatting sqref="V117:X117 P119:R119">
    <cfRule type="expression" dxfId="1628" priority="1550">
      <formula>AND($AH$117=$AH$119,$AH$117=$BX$119)</formula>
    </cfRule>
    <cfRule type="expression" dxfId="1627" priority="1551">
      <formula>AND($AH$117=$AH$119,$AH$117=$BW$119)</formula>
    </cfRule>
    <cfRule type="expression" dxfId="1626" priority="1552">
      <formula>AND($AH$117=$AH$119,$AH$117=$BV$119)</formula>
    </cfRule>
    <cfRule type="expression" dxfId="1625" priority="1553">
      <formula>AND($AH$117=$AH$119,$AH$117=$BU$119)</formula>
    </cfRule>
    <cfRule type="expression" dxfId="1624" priority="1554">
      <formula>AND($AH$117=$AH$119,$AH$117=$BT$119)</formula>
    </cfRule>
  </conditionalFormatting>
  <conditionalFormatting sqref="Z117">
    <cfRule type="containsText" dxfId="1623" priority="1548" operator="containsText" text=":">
      <formula>NOT(ISERROR(SEARCH(":",Z117)))</formula>
    </cfRule>
  </conditionalFormatting>
  <conditionalFormatting sqref="Q120">
    <cfRule type="containsText" dxfId="1622" priority="1542" operator="containsText" text=":">
      <formula>NOT(ISERROR(SEARCH(":",Q120)))</formula>
    </cfRule>
  </conditionalFormatting>
  <conditionalFormatting sqref="Y117:AA117 P120:R120">
    <cfRule type="expression" dxfId="1621" priority="1543">
      <formula>AND($AH$117=$AH$120,$AH$117=$BX$119)</formula>
    </cfRule>
    <cfRule type="expression" dxfId="1620" priority="1544">
      <formula>AND($AH$117=$AH$120,$AH$117=$BW$119)</formula>
    </cfRule>
    <cfRule type="expression" dxfId="1619" priority="1545">
      <formula>AND($AH$117=$AH$120,$AH$117=$BV$119)</formula>
    </cfRule>
    <cfRule type="expression" dxfId="1618" priority="1546">
      <formula>AND($AH$117=$AH$120,$AH$117=$BU$119)</formula>
    </cfRule>
    <cfRule type="expression" dxfId="1617" priority="1547">
      <formula>AND($AH$117=$AH$120,$AH$117=$BT$119)</formula>
    </cfRule>
  </conditionalFormatting>
  <conditionalFormatting sqref="AC117">
    <cfRule type="containsText" dxfId="1616" priority="1541" operator="containsText" text=":">
      <formula>NOT(ISERROR(SEARCH(":",AC117)))</formula>
    </cfRule>
  </conditionalFormatting>
  <conditionalFormatting sqref="Q121">
    <cfRule type="containsText" dxfId="1615" priority="1535" operator="containsText" text=":">
      <formula>NOT(ISERROR(SEARCH(":",Q121)))</formula>
    </cfRule>
  </conditionalFormatting>
  <conditionalFormatting sqref="AB117:AD117 P121:R121">
    <cfRule type="expression" dxfId="1614" priority="1536">
      <formula>AND($AH$117=$AH$121,$AH$117=$BX$119)</formula>
    </cfRule>
    <cfRule type="expression" dxfId="1613" priority="1537">
      <formula>AND($AH$117=$AH$121,$AH$117=$BW$119)</formula>
    </cfRule>
    <cfRule type="expression" dxfId="1612" priority="1538">
      <formula>AND($AH$117=$AH$121,$AH$117=$BV$119)</formula>
    </cfRule>
    <cfRule type="expression" dxfId="1611" priority="1539">
      <formula>AND($AH$117=$AH$121,$AH$117=$BU$119)</formula>
    </cfRule>
    <cfRule type="expression" dxfId="1610" priority="1540">
      <formula>AND($AH$117=$AH$121,$AH$117=$BT$119)</formula>
    </cfRule>
  </conditionalFormatting>
  <conditionalFormatting sqref="W118">
    <cfRule type="containsText" dxfId="1609" priority="1534" operator="containsText" text=":">
      <formula>NOT(ISERROR(SEARCH(":",W118)))</formula>
    </cfRule>
  </conditionalFormatting>
  <conditionalFormatting sqref="T119">
    <cfRule type="containsText" dxfId="1608" priority="1528" operator="containsText" text=":">
      <formula>NOT(ISERROR(SEARCH(":",T119)))</formula>
    </cfRule>
  </conditionalFormatting>
  <conditionalFormatting sqref="V118:X118 S119:U119">
    <cfRule type="expression" dxfId="1607" priority="1529">
      <formula>AND($AH$118=$AH$119,$AH$118=$BX$119)</formula>
    </cfRule>
    <cfRule type="expression" dxfId="1606" priority="1530">
      <formula>AND($AH$118=$AH$119,$AH$118=$BW$119)</formula>
    </cfRule>
    <cfRule type="expression" dxfId="1605" priority="1531">
      <formula>AND($AH$118=$AH$119,$AH$118=$BV$119)</formula>
    </cfRule>
    <cfRule type="expression" dxfId="1604" priority="1532">
      <formula>AND($AH$118=$AH$119,$AH$118=$BU$119)</formula>
    </cfRule>
    <cfRule type="expression" dxfId="1603" priority="1533">
      <formula>AND($AH$118=$AH$119,$AH$118=$BT$119)</formula>
    </cfRule>
  </conditionalFormatting>
  <conditionalFormatting sqref="Z118">
    <cfRule type="containsText" dxfId="1602" priority="1527" operator="containsText" text=":">
      <formula>NOT(ISERROR(SEARCH(":",Z118)))</formula>
    </cfRule>
  </conditionalFormatting>
  <conditionalFormatting sqref="T120">
    <cfRule type="containsText" dxfId="1601" priority="1521" operator="containsText" text=":">
      <formula>NOT(ISERROR(SEARCH(":",T120)))</formula>
    </cfRule>
  </conditionalFormatting>
  <conditionalFormatting sqref="Y118:AA118 S120:U120">
    <cfRule type="expression" dxfId="1600" priority="1522">
      <formula>AND($AH$118=$AH$120,$AH$118=$BX$119)</formula>
    </cfRule>
    <cfRule type="expression" dxfId="1599" priority="1523">
      <formula>AND($AH$118=$AH$120,$AH$118=$BW$119)</formula>
    </cfRule>
    <cfRule type="expression" dxfId="1598" priority="1524">
      <formula>AND($AH$118=$AH$120,$AH$118=$BV$119)</formula>
    </cfRule>
    <cfRule type="expression" dxfId="1597" priority="1525">
      <formula>AND($AH$118=$AH$120,$AH$118=$BU$119)</formula>
    </cfRule>
    <cfRule type="expression" dxfId="1596" priority="1526">
      <formula>AND($AH$118=$AH$120,$AH$118=$BT$119)</formula>
    </cfRule>
  </conditionalFormatting>
  <conditionalFormatting sqref="AC118">
    <cfRule type="containsText" dxfId="1595" priority="1520" operator="containsText" text=":">
      <formula>NOT(ISERROR(SEARCH(":",AC118)))</formula>
    </cfRule>
  </conditionalFormatting>
  <conditionalFormatting sqref="T121">
    <cfRule type="containsText" dxfId="1594" priority="1514" operator="containsText" text=":">
      <formula>NOT(ISERROR(SEARCH(":",T121)))</formula>
    </cfRule>
  </conditionalFormatting>
  <conditionalFormatting sqref="AB118:AD118 S121:U121">
    <cfRule type="expression" dxfId="1593" priority="1515">
      <formula>AND($AH$118=$AH$121,$AH$118=$BX$119)</formula>
    </cfRule>
    <cfRule type="expression" dxfId="1592" priority="1516">
      <formula>AND($AH$118=$AH$121,$AH$118=$BW$119)</formula>
    </cfRule>
    <cfRule type="expression" dxfId="1591" priority="1517">
      <formula>AND($AH$118=$AH$121,$AH$118=$BV$119)</formula>
    </cfRule>
    <cfRule type="expression" dxfId="1590" priority="1518">
      <formula>AND($AH$118=$AH$121,$AH$118=$BU$119)</formula>
    </cfRule>
    <cfRule type="expression" dxfId="1589" priority="1519">
      <formula>AND($AH$118=$AH$121,$AH$118=$BT$119)</formula>
    </cfRule>
  </conditionalFormatting>
  <conditionalFormatting sqref="Z119">
    <cfRule type="containsText" dxfId="1588" priority="1513" operator="containsText" text=":">
      <formula>NOT(ISERROR(SEARCH(":",Z119)))</formula>
    </cfRule>
  </conditionalFormatting>
  <conditionalFormatting sqref="W120">
    <cfRule type="containsText" dxfId="1587" priority="1507" operator="containsText" text=":">
      <formula>NOT(ISERROR(SEARCH(":",W120)))</formula>
    </cfRule>
  </conditionalFormatting>
  <conditionalFormatting sqref="Y119:AA119 V120:X120">
    <cfRule type="expression" dxfId="1586" priority="1508">
      <formula>AND($AH$119=$AH$120,$AH$119=$BX$119)</formula>
    </cfRule>
    <cfRule type="expression" dxfId="1585" priority="1509">
      <formula>AND($AH$119=$AH$120,$AH$119=$BW$119)</formula>
    </cfRule>
    <cfRule type="expression" dxfId="1584" priority="1510">
      <formula>AND($AH$119=$AH$120,$AH$119=$BV$119)</formula>
    </cfRule>
    <cfRule type="expression" dxfId="1583" priority="1511">
      <formula>AND($AH$119=$AH$120,$AH$119=$BU$119)</formula>
    </cfRule>
    <cfRule type="expression" dxfId="1582" priority="1512">
      <formula>AND($AH$119=$AH$120,$AH$119=$BT$119)</formula>
    </cfRule>
  </conditionalFormatting>
  <conditionalFormatting sqref="AC119">
    <cfRule type="containsText" dxfId="1581" priority="1506" operator="containsText" text=":">
      <formula>NOT(ISERROR(SEARCH(":",AC119)))</formula>
    </cfRule>
  </conditionalFormatting>
  <conditionalFormatting sqref="W121">
    <cfRule type="containsText" dxfId="1580" priority="1500" operator="containsText" text=":">
      <formula>NOT(ISERROR(SEARCH(":",W121)))</formula>
    </cfRule>
  </conditionalFormatting>
  <conditionalFormatting sqref="AB119:AD119 V121:X121">
    <cfRule type="expression" dxfId="1579" priority="1501">
      <formula>AND($AH$119=$AH$121,$AH$119=$BX$119)</formula>
    </cfRule>
    <cfRule type="expression" dxfId="1578" priority="1502">
      <formula>AND($AH$119=$AH$121,$AH$119=$BW$119)</formula>
    </cfRule>
    <cfRule type="expression" dxfId="1577" priority="1503">
      <formula>AND($AH$119=$AH$121,$AH$119=$BV$119)</formula>
    </cfRule>
    <cfRule type="expression" dxfId="1576" priority="1504">
      <formula>AND($AH$119=$AH$121,$AH$119=$BU$119)</formula>
    </cfRule>
    <cfRule type="expression" dxfId="1575" priority="1505">
      <formula>AND($AH$119=$AH$121,$AH$119=$BT$119)</formula>
    </cfRule>
  </conditionalFormatting>
  <conditionalFormatting sqref="AC120">
    <cfRule type="containsText" dxfId="1574" priority="1499" operator="containsText" text=":">
      <formula>NOT(ISERROR(SEARCH(":",AC120)))</formula>
    </cfRule>
  </conditionalFormatting>
  <conditionalFormatting sqref="Z121">
    <cfRule type="containsText" dxfId="1573" priority="1493" operator="containsText" text=":">
      <formula>NOT(ISERROR(SEARCH(":",Z121)))</formula>
    </cfRule>
  </conditionalFormatting>
  <conditionalFormatting sqref="AB120:AD120 Y121:AA121">
    <cfRule type="expression" dxfId="1572" priority="1494">
      <formula>AND($AH$120=$AH$121,$AH$120=$BX$119)</formula>
    </cfRule>
    <cfRule type="expression" dxfId="1571" priority="1495">
      <formula>AND($AH$120=$AH$121,$AH$120=$BW$119)</formula>
    </cfRule>
    <cfRule type="expression" dxfId="1570" priority="1496">
      <formula>AND($AH$120=$AH$121,$AH$120=$BV$119)</formula>
    </cfRule>
    <cfRule type="expression" dxfId="1569" priority="1497">
      <formula>AND($AH$120=$AH$121,$AH$120=$BU$119)</formula>
    </cfRule>
    <cfRule type="expression" dxfId="1568" priority="1498">
      <formula>AND($AH$120=$AH$121,$AH$120=$BT$119)</formula>
    </cfRule>
  </conditionalFormatting>
  <conditionalFormatting sqref="N126">
    <cfRule type="containsText" dxfId="1567" priority="1492" operator="containsText" text=":">
      <formula>NOT(ISERROR(SEARCH(":",N126)))</formula>
    </cfRule>
  </conditionalFormatting>
  <conditionalFormatting sqref="Q126">
    <cfRule type="containsText" dxfId="1566" priority="1491" operator="containsText" text=":">
      <formula>NOT(ISERROR(SEARCH(":",Q126)))</formula>
    </cfRule>
  </conditionalFormatting>
  <conditionalFormatting sqref="M126:O126 J127:L127">
    <cfRule type="expression" dxfId="1565" priority="1486">
      <formula>AND($AH$126=$AH$127,$AH$126=$BX$130)</formula>
    </cfRule>
    <cfRule type="expression" dxfId="1564" priority="1487">
      <formula>AND($AH$126=$AH$127,$AH$126=$BW$130)</formula>
    </cfRule>
    <cfRule type="expression" dxfId="1563" priority="1488">
      <formula>AND($AH$126=$AH$127,$AH$126=$BV$130)</formula>
    </cfRule>
    <cfRule type="expression" dxfId="1562" priority="1489">
      <formula>AND($AH$126=$AH$127,$AH$126=$BU$130)</formula>
    </cfRule>
    <cfRule type="expression" dxfId="1561" priority="1490">
      <formula>AND($AH$126=$AH$127,$AH$126=$BT$130)</formula>
    </cfRule>
  </conditionalFormatting>
  <conditionalFormatting sqref="P126:R126 J128:L128">
    <cfRule type="expression" dxfId="1560" priority="1481">
      <formula>AND($AH$126=$AH$128,$AH$126=$BX$130)</formula>
    </cfRule>
    <cfRule type="expression" dxfId="1559" priority="1482">
      <formula>AND($AH$126=$AH$128,$AH$126=$BW$130)</formula>
    </cfRule>
    <cfRule type="expression" dxfId="1558" priority="1483">
      <formula>AND($AH$126=$AH$128,$AH$126=$BV$130)</formula>
    </cfRule>
    <cfRule type="expression" dxfId="1557" priority="1484">
      <formula>AND($AH$126=$AH$128,$AH$126=$BU$130)</formula>
    </cfRule>
    <cfRule type="expression" dxfId="1556" priority="1485">
      <formula>AND($AH$126=$AH$128,$AH$126=$BT$130)</formula>
    </cfRule>
  </conditionalFormatting>
  <conditionalFormatting sqref="T126">
    <cfRule type="containsText" dxfId="1555" priority="1480" operator="containsText" text=":">
      <formula>NOT(ISERROR(SEARCH(":",T126)))</formula>
    </cfRule>
  </conditionalFormatting>
  <conditionalFormatting sqref="K129">
    <cfRule type="containsText" dxfId="1554" priority="1474" operator="containsText" text=":">
      <formula>NOT(ISERROR(SEARCH(":",K129)))</formula>
    </cfRule>
  </conditionalFormatting>
  <conditionalFormatting sqref="S126:U126 J129:L129">
    <cfRule type="expression" dxfId="1553" priority="1475">
      <formula>AND($AH$126=$AH$129,$AH$126=$BX$130)</formula>
    </cfRule>
    <cfRule type="expression" dxfId="1552" priority="1476">
      <formula>AND($AH$126=$AH$129,$AH$126=$BW$130)</formula>
    </cfRule>
    <cfRule type="expression" dxfId="1551" priority="1477">
      <formula>AND($AH$126=$AH$129,$AH$126=$BV$130)</formula>
    </cfRule>
    <cfRule type="expression" dxfId="1550" priority="1478">
      <formula>AND($AH$126=$AH$129,$AH$126=$BU$130)</formula>
    </cfRule>
    <cfRule type="expression" dxfId="1549" priority="1479">
      <formula>AND($AH$126=$AH$129,$AH$126=$BT$130)</formula>
    </cfRule>
  </conditionalFormatting>
  <conditionalFormatting sqref="W126">
    <cfRule type="containsText" dxfId="1548" priority="1473" operator="containsText" text=":">
      <formula>NOT(ISERROR(SEARCH(":",W126)))</formula>
    </cfRule>
  </conditionalFormatting>
  <conditionalFormatting sqref="K130">
    <cfRule type="containsText" dxfId="1547" priority="1467" operator="containsText" text=":">
      <formula>NOT(ISERROR(SEARCH(":",K130)))</formula>
    </cfRule>
  </conditionalFormatting>
  <conditionalFormatting sqref="V126:X126 J130:L130">
    <cfRule type="expression" dxfId="1546" priority="1468">
      <formula>AND($AH$126=$AH$130,$AH$126=$BX$130)</formula>
    </cfRule>
    <cfRule type="expression" dxfId="1545" priority="1469">
      <formula>AND($AH$126=$AH$130,$AH$126=$BW$130)</formula>
    </cfRule>
    <cfRule type="expression" dxfId="1544" priority="1470">
      <formula>AND($AH$126=$AH$130,$AH$126=$BV$130)</formula>
    </cfRule>
    <cfRule type="expression" dxfId="1543" priority="1471">
      <formula>AND($AH$126=$AH$130,$AH$126=$BU$130)</formula>
    </cfRule>
    <cfRule type="expression" dxfId="1542" priority="1472">
      <formula>AND($AH$126=$AH$130,$AH$126=$BT$130)</formula>
    </cfRule>
  </conditionalFormatting>
  <conditionalFormatting sqref="Z126">
    <cfRule type="containsText" dxfId="1541" priority="1466" operator="containsText" text=":">
      <formula>NOT(ISERROR(SEARCH(":",Z126)))</formula>
    </cfRule>
  </conditionalFormatting>
  <conditionalFormatting sqref="K131">
    <cfRule type="containsText" dxfId="1540" priority="1460" operator="containsText" text=":">
      <formula>NOT(ISERROR(SEARCH(":",K131)))</formula>
    </cfRule>
  </conditionalFormatting>
  <conditionalFormatting sqref="Y126:AA126 J131:L131">
    <cfRule type="expression" dxfId="1539" priority="1461">
      <formula>AND($AH$126=$AH$131,$AH$126=$BX$130)</formula>
    </cfRule>
    <cfRule type="expression" dxfId="1538" priority="1462">
      <formula>AND($AH$126=$AH$131,$AH$126=$BW$130)</formula>
    </cfRule>
    <cfRule type="expression" dxfId="1537" priority="1463">
      <formula>AND($AH$126=$AH$131,$AH$126=$BV$130)</formula>
    </cfRule>
    <cfRule type="expression" dxfId="1536" priority="1464">
      <formula>AND($AH$126=$AH$131,$AH$126=$BU$130)</formula>
    </cfRule>
    <cfRule type="expression" dxfId="1535" priority="1465">
      <formula>AND($AH$126=$AH$131,$AH$126=$BT$130)</formula>
    </cfRule>
  </conditionalFormatting>
  <conditionalFormatting sqref="AC126">
    <cfRule type="containsText" dxfId="1534" priority="1459" operator="containsText" text=":">
      <formula>NOT(ISERROR(SEARCH(":",AC126)))</formula>
    </cfRule>
  </conditionalFormatting>
  <conditionalFormatting sqref="K132">
    <cfRule type="containsText" dxfId="1533" priority="1453" operator="containsText" text=":">
      <formula>NOT(ISERROR(SEARCH(":",K132)))</formula>
    </cfRule>
  </conditionalFormatting>
  <conditionalFormatting sqref="AB126:AD126 J132:L132">
    <cfRule type="expression" dxfId="1532" priority="1454">
      <formula>AND($AH$126=$AH$132,$AH$126=$BX$130)</formula>
    </cfRule>
    <cfRule type="expression" dxfId="1531" priority="1455">
      <formula>AND($AH$126=$AH$132,$AH$126=$BW$130)</formula>
    </cfRule>
    <cfRule type="expression" dxfId="1530" priority="1456">
      <formula>AND($AH$126=$AH$132,$AH$126=$BV$130)</formula>
    </cfRule>
    <cfRule type="expression" dxfId="1529" priority="1457">
      <formula>AND($AH$126=$AH$132,$AH$126=$BU$130)</formula>
    </cfRule>
    <cfRule type="expression" dxfId="1528" priority="1458">
      <formula>AND($AH$126=$AH$132,$AH$126=$BT$130)</formula>
    </cfRule>
  </conditionalFormatting>
  <conditionalFormatting sqref="Q127">
    <cfRule type="containsText" dxfId="1527" priority="1452" operator="containsText" text=":">
      <formula>NOT(ISERROR(SEARCH(":",Q127)))</formula>
    </cfRule>
  </conditionalFormatting>
  <conditionalFormatting sqref="N128">
    <cfRule type="containsText" dxfId="1526" priority="1446" operator="containsText" text=":">
      <formula>NOT(ISERROR(SEARCH(":",N128)))</formula>
    </cfRule>
  </conditionalFormatting>
  <conditionalFormatting sqref="P127:R127 M128:O128">
    <cfRule type="expression" dxfId="1525" priority="1447">
      <formula>AND($AH$127=$AH$128,$AH$127=$BX$130)</formula>
    </cfRule>
    <cfRule type="expression" dxfId="1524" priority="1448">
      <formula>AND($AH$127=$AH$128,$AH$127=$BW$130)</formula>
    </cfRule>
    <cfRule type="expression" dxfId="1523" priority="1449">
      <formula>AND($AH$127=$AH$128,$AH$127=$BV$130)</formula>
    </cfRule>
    <cfRule type="expression" dxfId="1522" priority="1450">
      <formula>AND($AH$127=$AH$128,$AH$127=$BU$130)</formula>
    </cfRule>
    <cfRule type="expression" dxfId="1521" priority="1451">
      <formula>AND($AH$127=$AH$128,$AH$127=$BT$130)</formula>
    </cfRule>
  </conditionalFormatting>
  <conditionalFormatting sqref="T127">
    <cfRule type="containsText" dxfId="1520" priority="1445" operator="containsText" text=":">
      <formula>NOT(ISERROR(SEARCH(":",T127)))</formula>
    </cfRule>
  </conditionalFormatting>
  <conditionalFormatting sqref="N129">
    <cfRule type="containsText" dxfId="1519" priority="1439" operator="containsText" text=":">
      <formula>NOT(ISERROR(SEARCH(":",N129)))</formula>
    </cfRule>
  </conditionalFormatting>
  <conditionalFormatting sqref="S127:U127 M129:O129">
    <cfRule type="expression" dxfId="1518" priority="1440">
      <formula>AND($AH$127=$AH$129,$AH$127=$BX$130)</formula>
    </cfRule>
    <cfRule type="expression" dxfId="1517" priority="1441">
      <formula>AND($AH$127=$AH$129,$AH$127=$BW$130)</formula>
    </cfRule>
    <cfRule type="expression" dxfId="1516" priority="1442">
      <formula>AND($AH$127=$AH$129,$AH$127=$BV$130)</formula>
    </cfRule>
    <cfRule type="expression" dxfId="1515" priority="1443">
      <formula>AND($AH$127=$AH$129,$AH$127=$BU$130)</formula>
    </cfRule>
    <cfRule type="expression" dxfId="1514" priority="1444">
      <formula>AND($AH$127=$AH$129,$AH$127=$BT$130)</formula>
    </cfRule>
  </conditionalFormatting>
  <conditionalFormatting sqref="W127">
    <cfRule type="containsText" dxfId="1513" priority="1438" operator="containsText" text=":">
      <formula>NOT(ISERROR(SEARCH(":",W127)))</formula>
    </cfRule>
  </conditionalFormatting>
  <conditionalFormatting sqref="N130">
    <cfRule type="containsText" dxfId="1512" priority="1432" operator="containsText" text=":">
      <formula>NOT(ISERROR(SEARCH(":",N130)))</formula>
    </cfRule>
  </conditionalFormatting>
  <conditionalFormatting sqref="V127:X127 M130:O130">
    <cfRule type="expression" dxfId="1511" priority="1433">
      <formula>AND($AH$127=$AH$130,$AH$127=$BX$130)</formula>
    </cfRule>
    <cfRule type="expression" dxfId="1510" priority="1434">
      <formula>AND($AH$127=$AH$130,$AH$127=$BW$130)</formula>
    </cfRule>
    <cfRule type="expression" dxfId="1509" priority="1435">
      <formula>AND($AH$127=$AH$130,$AH$127=$BV$130)</formula>
    </cfRule>
    <cfRule type="expression" dxfId="1508" priority="1436">
      <formula>AND($AH$127=$AH$130,$AH$127=$BU$130)</formula>
    </cfRule>
    <cfRule type="expression" dxfId="1507" priority="1437">
      <formula>AND($AH$127=$AH$130,$AH$127=$BT$130)</formula>
    </cfRule>
  </conditionalFormatting>
  <conditionalFormatting sqref="Z127">
    <cfRule type="containsText" dxfId="1506" priority="1431" operator="containsText" text=":">
      <formula>NOT(ISERROR(SEARCH(":",Z127)))</formula>
    </cfRule>
  </conditionalFormatting>
  <conditionalFormatting sqref="N131">
    <cfRule type="containsText" dxfId="1505" priority="1425" operator="containsText" text=":">
      <formula>NOT(ISERROR(SEARCH(":",N131)))</formula>
    </cfRule>
  </conditionalFormatting>
  <conditionalFormatting sqref="Y127:AA127 M131:O131">
    <cfRule type="expression" dxfId="1504" priority="1426">
      <formula>AND($AH$127=$AH$131,$AH$127=$BX$130)</formula>
    </cfRule>
    <cfRule type="expression" dxfId="1503" priority="1427">
      <formula>AND($AH$127=$AH$131,$AH$127=$BW$130)</formula>
    </cfRule>
    <cfRule type="expression" dxfId="1502" priority="1428">
      <formula>AND($AH$127=$AH$131,$AH$127=$BV$130)</formula>
    </cfRule>
    <cfRule type="expression" dxfId="1501" priority="1429">
      <formula>AND($AH$127=$AH$131,$AH$127=$BU$130)</formula>
    </cfRule>
    <cfRule type="expression" dxfId="1500" priority="1430">
      <formula>AND($AH$127=$AH$131,$AH$127=$BT$130)</formula>
    </cfRule>
  </conditionalFormatting>
  <conditionalFormatting sqref="AC127">
    <cfRule type="containsText" dxfId="1499" priority="1424" operator="containsText" text=":">
      <formula>NOT(ISERROR(SEARCH(":",AC127)))</formula>
    </cfRule>
  </conditionalFormatting>
  <conditionalFormatting sqref="N132">
    <cfRule type="containsText" dxfId="1498" priority="1418" operator="containsText" text=":">
      <formula>NOT(ISERROR(SEARCH(":",N132)))</formula>
    </cfRule>
  </conditionalFormatting>
  <conditionalFormatting sqref="AB127:AD127 M132:O132">
    <cfRule type="expression" dxfId="1497" priority="1419">
      <formula>AND($AH$127=$AH$132,$AH$127=$BX$130)</formula>
    </cfRule>
    <cfRule type="expression" dxfId="1496" priority="1420">
      <formula>AND($AH$127=$AH$132,$AH$127=$BW$130)</formula>
    </cfRule>
    <cfRule type="expression" dxfId="1495" priority="1421">
      <formula>AND($AH$127=$AH$132,$AH$127=$BV$130)</formula>
    </cfRule>
    <cfRule type="expression" dxfId="1494" priority="1422">
      <formula>AND($AH$127=$AH$132,$AH$127=$BU$130)</formula>
    </cfRule>
    <cfRule type="expression" dxfId="1493" priority="1423">
      <formula>AND($AH$127=$AH$132,$AH$127=$BT$130)</formula>
    </cfRule>
  </conditionalFormatting>
  <conditionalFormatting sqref="T128">
    <cfRule type="containsText" dxfId="1492" priority="1417" operator="containsText" text=":">
      <formula>NOT(ISERROR(SEARCH(":",T128)))</formula>
    </cfRule>
  </conditionalFormatting>
  <conditionalFormatting sqref="Q129">
    <cfRule type="containsText" dxfId="1491" priority="1411" operator="containsText" text=":">
      <formula>NOT(ISERROR(SEARCH(":",Q129)))</formula>
    </cfRule>
  </conditionalFormatting>
  <conditionalFormatting sqref="S128:U128 P129:R129">
    <cfRule type="expression" dxfId="1490" priority="1412">
      <formula>AND($AH$128=$AH$129,$AH$128=$BX$130)</formula>
    </cfRule>
    <cfRule type="expression" dxfId="1489" priority="1413">
      <formula>AND($AH$128=$AH$129,$AH$128=$BW$130)</formula>
    </cfRule>
    <cfRule type="expression" dxfId="1488" priority="1414">
      <formula>AND($AH$128=$AH$129,$AH$128=$BV$130)</formula>
    </cfRule>
    <cfRule type="expression" dxfId="1487" priority="1415">
      <formula>AND($AH$128=$AH$129,$AH$128=$BU$130)</formula>
    </cfRule>
    <cfRule type="expression" dxfId="1486" priority="1416">
      <formula>AND($AH$128=$AH$129,$AH$128=$BT$130)</formula>
    </cfRule>
  </conditionalFormatting>
  <conditionalFormatting sqref="W128">
    <cfRule type="containsText" dxfId="1485" priority="1410" operator="containsText" text=":">
      <formula>NOT(ISERROR(SEARCH(":",W128)))</formula>
    </cfRule>
  </conditionalFormatting>
  <conditionalFormatting sqref="Q130">
    <cfRule type="containsText" dxfId="1484" priority="1404" operator="containsText" text=":">
      <formula>NOT(ISERROR(SEARCH(":",Q130)))</formula>
    </cfRule>
  </conditionalFormatting>
  <conditionalFormatting sqref="V128:X128 P130:R130">
    <cfRule type="expression" dxfId="1483" priority="1405">
      <formula>AND($AH$128=$AH$130,$AH$128=$BX$130)</formula>
    </cfRule>
    <cfRule type="expression" dxfId="1482" priority="1406">
      <formula>AND($AH$128=$AH$130,$AH$128=$BW$130)</formula>
    </cfRule>
    <cfRule type="expression" dxfId="1481" priority="1407">
      <formula>AND($AH$128=$AH$130,$AH$128=$BV$130)</formula>
    </cfRule>
    <cfRule type="expression" dxfId="1480" priority="1408">
      <formula>AND($AH$128=$AH$130,$AH$128=$BU$130)</formula>
    </cfRule>
    <cfRule type="expression" dxfId="1479" priority="1409">
      <formula>AND($AH$128=$AH$130,$AH$128=$BT$130)</formula>
    </cfRule>
  </conditionalFormatting>
  <conditionalFormatting sqref="Z128">
    <cfRule type="containsText" dxfId="1478" priority="1403" operator="containsText" text=":">
      <formula>NOT(ISERROR(SEARCH(":",Z128)))</formula>
    </cfRule>
  </conditionalFormatting>
  <conditionalFormatting sqref="Q131">
    <cfRule type="containsText" dxfId="1477" priority="1397" operator="containsText" text=":">
      <formula>NOT(ISERROR(SEARCH(":",Q131)))</formula>
    </cfRule>
  </conditionalFormatting>
  <conditionalFormatting sqref="Y128:AA128 P131:R131">
    <cfRule type="expression" dxfId="1476" priority="1398">
      <formula>AND($AH$128=$AH$131,$AH$128=$BX$130)</formula>
    </cfRule>
    <cfRule type="expression" dxfId="1475" priority="1399">
      <formula>AND($AH$128=$AH$131,$AH$128=$BW$130)</formula>
    </cfRule>
    <cfRule type="expression" dxfId="1474" priority="1400">
      <formula>AND($AH$128=$AH$131,$AH$128=$BV$130)</formula>
    </cfRule>
    <cfRule type="expression" dxfId="1473" priority="1401">
      <formula>AND($AH$128=$AH$131,$AH$128=$BU$130)</formula>
    </cfRule>
    <cfRule type="expression" dxfId="1472" priority="1402">
      <formula>AND($AH$128=$AH$131,$AH$128=$BT$130)</formula>
    </cfRule>
  </conditionalFormatting>
  <conditionalFormatting sqref="AC128">
    <cfRule type="containsText" dxfId="1471" priority="1396" operator="containsText" text=":">
      <formula>NOT(ISERROR(SEARCH(":",AC128)))</formula>
    </cfRule>
  </conditionalFormatting>
  <conditionalFormatting sqref="Q132">
    <cfRule type="containsText" dxfId="1470" priority="1390" operator="containsText" text=":">
      <formula>NOT(ISERROR(SEARCH(":",Q132)))</formula>
    </cfRule>
  </conditionalFormatting>
  <conditionalFormatting sqref="AB128:AD128 P132:R132">
    <cfRule type="expression" dxfId="1469" priority="1391">
      <formula>AND($AH$128=$AH$132,$AH$128=$BX$130)</formula>
    </cfRule>
    <cfRule type="expression" dxfId="1468" priority="1392">
      <formula>AND($AH$128=$AH$132,$AH$128=$BW$130)</formula>
    </cfRule>
    <cfRule type="expression" dxfId="1467" priority="1393">
      <formula>AND($AH$128=$AH$132,$AH$128=$BV$130)</formula>
    </cfRule>
    <cfRule type="expression" dxfId="1466" priority="1394">
      <formula>AND($AH$128=$AH$132,$AH$128=$BU$130)</formula>
    </cfRule>
    <cfRule type="expression" dxfId="1465" priority="1395">
      <formula>AND($AH$128=$AH$132,$AH$128=$BT$130)</formula>
    </cfRule>
  </conditionalFormatting>
  <conditionalFormatting sqref="W129">
    <cfRule type="containsText" dxfId="1464" priority="1389" operator="containsText" text=":">
      <formula>NOT(ISERROR(SEARCH(":",W129)))</formula>
    </cfRule>
  </conditionalFormatting>
  <conditionalFormatting sqref="T130">
    <cfRule type="containsText" dxfId="1463" priority="1383" operator="containsText" text=":">
      <formula>NOT(ISERROR(SEARCH(":",T130)))</formula>
    </cfRule>
  </conditionalFormatting>
  <conditionalFormatting sqref="V129:X129 S130:U130">
    <cfRule type="expression" dxfId="1462" priority="1384">
      <formula>AND($AH$129=$AH$130,$AH$129=$BX$130)</formula>
    </cfRule>
    <cfRule type="expression" dxfId="1461" priority="1385">
      <formula>AND($AH$129=$AH$130,$AH$129=$BW$130)</formula>
    </cfRule>
    <cfRule type="expression" dxfId="1460" priority="1386">
      <formula>AND($AH$129=$AH$130,$AH$129=$BV$130)</formula>
    </cfRule>
    <cfRule type="expression" dxfId="1459" priority="1387">
      <formula>AND($AH$129=$AH$130,$AH$129=$BU$130)</formula>
    </cfRule>
    <cfRule type="expression" dxfId="1458" priority="1388">
      <formula>AND($AH$129=$AH$130,$AH$129=$BT$130)</formula>
    </cfRule>
  </conditionalFormatting>
  <conditionalFormatting sqref="Z129">
    <cfRule type="containsText" dxfId="1457" priority="1382" operator="containsText" text=":">
      <formula>NOT(ISERROR(SEARCH(":",Z129)))</formula>
    </cfRule>
  </conditionalFormatting>
  <conditionalFormatting sqref="T131">
    <cfRule type="containsText" dxfId="1456" priority="1376" operator="containsText" text=":">
      <formula>NOT(ISERROR(SEARCH(":",T131)))</formula>
    </cfRule>
  </conditionalFormatting>
  <conditionalFormatting sqref="Y129:AA129 S131:U131">
    <cfRule type="expression" dxfId="1455" priority="1377">
      <formula>AND($AH$129=$AH$131,$AH$129=$BX$130)</formula>
    </cfRule>
    <cfRule type="expression" dxfId="1454" priority="1378">
      <formula>AND($AH$129=$AH$131,$AH$129=$BW$130)</formula>
    </cfRule>
    <cfRule type="expression" dxfId="1453" priority="1379">
      <formula>AND($AH$129=$AH$131,$AH$129=$BV$130)</formula>
    </cfRule>
    <cfRule type="expression" dxfId="1452" priority="1380">
      <formula>AND($AH$129=$AH$131,$AH$129=$BU$130)</formula>
    </cfRule>
    <cfRule type="expression" dxfId="1451" priority="1381">
      <formula>AND($AH$129=$AH$131,$AH$129=$BT$130)</formula>
    </cfRule>
  </conditionalFormatting>
  <conditionalFormatting sqref="AC129">
    <cfRule type="containsText" dxfId="1450" priority="1375" operator="containsText" text=":">
      <formula>NOT(ISERROR(SEARCH(":",AC129)))</formula>
    </cfRule>
  </conditionalFormatting>
  <conditionalFormatting sqref="T132">
    <cfRule type="containsText" dxfId="1449" priority="1369" operator="containsText" text=":">
      <formula>NOT(ISERROR(SEARCH(":",T132)))</formula>
    </cfRule>
  </conditionalFormatting>
  <conditionalFormatting sqref="AB129:AD129 S132:U132">
    <cfRule type="expression" dxfId="1448" priority="1370">
      <formula>AND($AH$129=$AH$132,$AH$129=$BX$130)</formula>
    </cfRule>
    <cfRule type="expression" dxfId="1447" priority="1371">
      <formula>AND($AH$129=$AH$132,$AH$129=$BW$130)</formula>
    </cfRule>
    <cfRule type="expression" dxfId="1446" priority="1372">
      <formula>AND($AH$129=$AH$132,$AH$129=$BV$130)</formula>
    </cfRule>
    <cfRule type="expression" dxfId="1445" priority="1373">
      <formula>AND($AH$129=$AH$132,$AH$129=$BU$130)</formula>
    </cfRule>
    <cfRule type="expression" dxfId="1444" priority="1374">
      <formula>AND($AH$129=$AH$132,$AH$129=$BT$130)</formula>
    </cfRule>
  </conditionalFormatting>
  <conditionalFormatting sqref="Z130">
    <cfRule type="containsText" dxfId="1443" priority="1368" operator="containsText" text=":">
      <formula>NOT(ISERROR(SEARCH(":",Z130)))</formula>
    </cfRule>
  </conditionalFormatting>
  <conditionalFormatting sqref="W131">
    <cfRule type="containsText" dxfId="1442" priority="1362" operator="containsText" text=":">
      <formula>NOT(ISERROR(SEARCH(":",W131)))</formula>
    </cfRule>
  </conditionalFormatting>
  <conditionalFormatting sqref="Y130:AA130 V131:X131">
    <cfRule type="expression" dxfId="1441" priority="1363">
      <formula>AND($AH$130=$AH$131,$AH$130=$BX$130)</formula>
    </cfRule>
    <cfRule type="expression" dxfId="1440" priority="1364">
      <formula>AND($AH$130=$AH$131,$AH$130=$BW$130)</formula>
    </cfRule>
    <cfRule type="expression" dxfId="1439" priority="1365">
      <formula>AND($AH$130=$AH$131,$AH$130=$BV$130)</formula>
    </cfRule>
    <cfRule type="expression" dxfId="1438" priority="1366">
      <formula>AND($AH$130=$AH$131,$AH$130=$BU$130)</formula>
    </cfRule>
    <cfRule type="expression" dxfId="1437" priority="1367">
      <formula>AND($AH$130=$AH$131,$AH$130=$BT$130)</formula>
    </cfRule>
  </conditionalFormatting>
  <conditionalFormatting sqref="AC130">
    <cfRule type="containsText" dxfId="1436" priority="1361" operator="containsText" text=":">
      <formula>NOT(ISERROR(SEARCH(":",AC130)))</formula>
    </cfRule>
  </conditionalFormatting>
  <conditionalFormatting sqref="W132">
    <cfRule type="containsText" dxfId="1435" priority="1355" operator="containsText" text=":">
      <formula>NOT(ISERROR(SEARCH(":",W132)))</formula>
    </cfRule>
  </conditionalFormatting>
  <conditionalFormatting sqref="AB130:AD130 V132:X132">
    <cfRule type="expression" dxfId="1434" priority="1356">
      <formula>AND($AH$130=$AH$132,$AH$130=$BX$130)</formula>
    </cfRule>
    <cfRule type="expression" dxfId="1433" priority="1357">
      <formula>AND($AH$130=$AH$132,$AH$130=$BW$130)</formula>
    </cfRule>
    <cfRule type="expression" dxfId="1432" priority="1358">
      <formula>AND($AH$130=$AH$132,$AH$130=$BV$130)</formula>
    </cfRule>
    <cfRule type="expression" dxfId="1431" priority="1359">
      <formula>AND($AH$130=$AH$132,$AH$130=$BU$130)</formula>
    </cfRule>
    <cfRule type="expression" dxfId="1430" priority="1360">
      <formula>AND($AH$130=$AH$132,$AH$130=$BT$130)</formula>
    </cfRule>
  </conditionalFormatting>
  <conditionalFormatting sqref="AC131">
    <cfRule type="containsText" dxfId="1429" priority="1354" operator="containsText" text=":">
      <formula>NOT(ISERROR(SEARCH(":",AC131)))</formula>
    </cfRule>
  </conditionalFormatting>
  <conditionalFormatting sqref="Z132">
    <cfRule type="containsText" dxfId="1428" priority="1348" operator="containsText" text=":">
      <formula>NOT(ISERROR(SEARCH(":",Z132)))</formula>
    </cfRule>
  </conditionalFormatting>
  <conditionalFormatting sqref="AB131:AD131 Y132:AA132">
    <cfRule type="expression" dxfId="1427" priority="1349">
      <formula>AND($AH$131=$AH$132,$AH$131=$BX$130)</formula>
    </cfRule>
    <cfRule type="expression" dxfId="1426" priority="1350">
      <formula>AND($AH$131=$AH$132,$AH$131=$BW$130)</formula>
    </cfRule>
    <cfRule type="expression" dxfId="1425" priority="1351">
      <formula>AND($AH$131=$AH$132,$AH$131=$BV$130)</formula>
    </cfRule>
    <cfRule type="expression" dxfId="1424" priority="1352">
      <formula>AND($AH$131=$AH$132,$AH$131=$BU$130)</formula>
    </cfRule>
    <cfRule type="expression" dxfId="1423" priority="1353">
      <formula>AND($AH$131=$AH$132,$AH$131=$BT$130)</formula>
    </cfRule>
  </conditionalFormatting>
  <conditionalFormatting sqref="N137">
    <cfRule type="containsText" dxfId="1422" priority="1347" operator="containsText" text=":">
      <formula>NOT(ISERROR(SEARCH(":",N137)))</formula>
    </cfRule>
  </conditionalFormatting>
  <conditionalFormatting sqref="Q137">
    <cfRule type="containsText" dxfId="1421" priority="1346" operator="containsText" text=":">
      <formula>NOT(ISERROR(SEARCH(":",Q137)))</formula>
    </cfRule>
  </conditionalFormatting>
  <conditionalFormatting sqref="M137:O137 J138:L138">
    <cfRule type="expression" dxfId="1420" priority="1341">
      <formula>AND($AH$137=$AH$138,$AH$137=$BX$141)</formula>
    </cfRule>
    <cfRule type="expression" dxfId="1419" priority="1342">
      <formula>AND($AH$137=$AH$138,$AH$137=$BW$141)</formula>
    </cfRule>
    <cfRule type="expression" dxfId="1418" priority="1343">
      <formula>AND($AH$137=$AH$138,$AH$137=$BV$141)</formula>
    </cfRule>
    <cfRule type="expression" dxfId="1417" priority="1344">
      <formula>AND($AH$137=$AH$138,$AH$137=$BU$141)</formula>
    </cfRule>
    <cfRule type="expression" dxfId="1416" priority="1345">
      <formula>AND($AH$137=$AH$138,$AH$137=$BT$141)</formula>
    </cfRule>
  </conditionalFormatting>
  <conditionalFormatting sqref="P137:R137 J139:L139">
    <cfRule type="expression" dxfId="1415" priority="1336">
      <formula>AND($AH$137=$AH$139,$AH$137=$BX$141)</formula>
    </cfRule>
    <cfRule type="expression" dxfId="1414" priority="1337">
      <formula>AND($AH$137=$AH$139,$AH$137=$BW$141)</formula>
    </cfRule>
    <cfRule type="expression" dxfId="1413" priority="1338">
      <formula>AND($AH$137=$AH$139,$AH$137=$BV$141)</formula>
    </cfRule>
    <cfRule type="expression" dxfId="1412" priority="1339">
      <formula>AND($AH$137=$AH$139,$AH$137=$BU$141)</formula>
    </cfRule>
    <cfRule type="expression" dxfId="1411" priority="1340">
      <formula>AND($AH$137=$AH$139,$AH$137=$BT$141)</formula>
    </cfRule>
  </conditionalFormatting>
  <conditionalFormatting sqref="T137">
    <cfRule type="containsText" dxfId="1410" priority="1335" operator="containsText" text=":">
      <formula>NOT(ISERROR(SEARCH(":",T137)))</formula>
    </cfRule>
  </conditionalFormatting>
  <conditionalFormatting sqref="K140">
    <cfRule type="containsText" dxfId="1409" priority="1329" operator="containsText" text=":">
      <formula>NOT(ISERROR(SEARCH(":",K140)))</formula>
    </cfRule>
  </conditionalFormatting>
  <conditionalFormatting sqref="S137:U137 J140:L140">
    <cfRule type="expression" dxfId="1408" priority="1330">
      <formula>AND($AH$137=$AH$140,$AH$137=$BX$141)</formula>
    </cfRule>
    <cfRule type="expression" dxfId="1407" priority="1331">
      <formula>AND($AH$137=$AH$140,$AH$137=$BW$141)</formula>
    </cfRule>
    <cfRule type="expression" dxfId="1406" priority="1332">
      <formula>AND($AH$137=$AH$140,$AH$137=$BV$141)</formula>
    </cfRule>
    <cfRule type="expression" dxfId="1405" priority="1333">
      <formula>AND($AH$137=$AH$140,$AH$137=$BU$141)</formula>
    </cfRule>
    <cfRule type="expression" dxfId="1404" priority="1334">
      <formula>AND($AH$137=$AH$140,$AH$137=$BT$141)</formula>
    </cfRule>
  </conditionalFormatting>
  <conditionalFormatting sqref="W137">
    <cfRule type="containsText" dxfId="1403" priority="1328" operator="containsText" text=":">
      <formula>NOT(ISERROR(SEARCH(":",W137)))</formula>
    </cfRule>
  </conditionalFormatting>
  <conditionalFormatting sqref="K141">
    <cfRule type="containsText" dxfId="1402" priority="1322" operator="containsText" text=":">
      <formula>NOT(ISERROR(SEARCH(":",K141)))</formula>
    </cfRule>
  </conditionalFormatting>
  <conditionalFormatting sqref="V137:X137 J141:L141">
    <cfRule type="expression" dxfId="1401" priority="1323">
      <formula>AND($AH$137=$AH$141,$AH$137=$BX$141)</formula>
    </cfRule>
    <cfRule type="expression" dxfId="1400" priority="1324">
      <formula>AND($AH$137=$AH$141,$AH$137=$BW$141)</formula>
    </cfRule>
    <cfRule type="expression" dxfId="1399" priority="1325">
      <formula>AND($AH$137=$AH$141,$AH$137=$BV$141)</formula>
    </cfRule>
    <cfRule type="expression" dxfId="1398" priority="1326">
      <formula>AND($AH$137=$AH$141,$AH$137=$BU$141)</formula>
    </cfRule>
    <cfRule type="expression" dxfId="1397" priority="1327">
      <formula>AND($AH$137=$AH$141,$AH$137=$BT$141)</formula>
    </cfRule>
  </conditionalFormatting>
  <conditionalFormatting sqref="Z137">
    <cfRule type="containsText" dxfId="1396" priority="1321" operator="containsText" text=":">
      <formula>NOT(ISERROR(SEARCH(":",Z137)))</formula>
    </cfRule>
  </conditionalFormatting>
  <conditionalFormatting sqref="K142">
    <cfRule type="containsText" dxfId="1395" priority="1315" operator="containsText" text=":">
      <formula>NOT(ISERROR(SEARCH(":",K142)))</formula>
    </cfRule>
  </conditionalFormatting>
  <conditionalFormatting sqref="Y137:AA137 J142:L142">
    <cfRule type="expression" dxfId="1394" priority="1316">
      <formula>AND($AH$137=$AH$142,$AH$137=$BX$141)</formula>
    </cfRule>
    <cfRule type="expression" dxfId="1393" priority="1317">
      <formula>AND($AH$137=$AH$142,$AH$137=$BW$141)</formula>
    </cfRule>
    <cfRule type="expression" dxfId="1392" priority="1318">
      <formula>AND($AH$137=$AH$142,$AH$137=$BV$141)</formula>
    </cfRule>
    <cfRule type="expression" dxfId="1391" priority="1319">
      <formula>AND($AH$137=$AH$142,$AH$137=$BU$141)</formula>
    </cfRule>
    <cfRule type="expression" dxfId="1390" priority="1320">
      <formula>AND($AH$137=$AH$142,$AH$137=$BT$141)</formula>
    </cfRule>
  </conditionalFormatting>
  <conditionalFormatting sqref="AC137">
    <cfRule type="containsText" dxfId="1389" priority="1314" operator="containsText" text=":">
      <formula>NOT(ISERROR(SEARCH(":",AC137)))</formula>
    </cfRule>
  </conditionalFormatting>
  <conditionalFormatting sqref="K143">
    <cfRule type="containsText" dxfId="1388" priority="1308" operator="containsText" text=":">
      <formula>NOT(ISERROR(SEARCH(":",K143)))</formula>
    </cfRule>
  </conditionalFormatting>
  <conditionalFormatting sqref="AB137:AD137 J143:L143">
    <cfRule type="expression" dxfId="1387" priority="1309">
      <formula>AND($AH$137=$AH$143,$AH$137=$BX$141)</formula>
    </cfRule>
    <cfRule type="expression" dxfId="1386" priority="1310">
      <formula>AND($AH$137=$AH$143,$AH$137=$BW$141)</formula>
    </cfRule>
    <cfRule type="expression" dxfId="1385" priority="1311">
      <formula>AND($AH$137=$AH$143,$AH$137=$BV$141)</formula>
    </cfRule>
    <cfRule type="expression" dxfId="1384" priority="1312">
      <formula>AND($AH$137=$AH$143,$AH$137=$BU$141)</formula>
    </cfRule>
    <cfRule type="expression" dxfId="1383" priority="1313">
      <formula>AND($AH$137=$AH$143,$AH$137=$BT$141)</formula>
    </cfRule>
  </conditionalFormatting>
  <conditionalFormatting sqref="Q138">
    <cfRule type="containsText" dxfId="1382" priority="1307" operator="containsText" text=":">
      <formula>NOT(ISERROR(SEARCH(":",Q138)))</formula>
    </cfRule>
  </conditionalFormatting>
  <conditionalFormatting sqref="N139">
    <cfRule type="containsText" dxfId="1381" priority="1301" operator="containsText" text=":">
      <formula>NOT(ISERROR(SEARCH(":",N139)))</formula>
    </cfRule>
  </conditionalFormatting>
  <conditionalFormatting sqref="P138:R138 M139:O139">
    <cfRule type="expression" dxfId="1380" priority="1302">
      <formula>AND($AH$138=$AH$139,$AH$138=$BX$141)</formula>
    </cfRule>
    <cfRule type="expression" dxfId="1379" priority="1303">
      <formula>AND($AH$138=$AH$139,$AH$138=$BW$141)</formula>
    </cfRule>
    <cfRule type="expression" dxfId="1378" priority="1304">
      <formula>AND($AH$138=$AH$139,$AH$138=$BV$141)</formula>
    </cfRule>
    <cfRule type="expression" dxfId="1377" priority="1305">
      <formula>AND($AH$138=$AH$139,$AH$138=$BU$141)</formula>
    </cfRule>
    <cfRule type="expression" dxfId="1376" priority="1306">
      <formula>AND($AH$138=$AH$139,$AH$138=$BT$141)</formula>
    </cfRule>
  </conditionalFormatting>
  <conditionalFormatting sqref="T138">
    <cfRule type="containsText" dxfId="1375" priority="1300" operator="containsText" text=":">
      <formula>NOT(ISERROR(SEARCH(":",T138)))</formula>
    </cfRule>
  </conditionalFormatting>
  <conditionalFormatting sqref="N140">
    <cfRule type="containsText" dxfId="1374" priority="1294" operator="containsText" text=":">
      <formula>NOT(ISERROR(SEARCH(":",N140)))</formula>
    </cfRule>
  </conditionalFormatting>
  <conditionalFormatting sqref="S138:U138 M140:O140">
    <cfRule type="expression" dxfId="1373" priority="1295">
      <formula>AND($AH$138=$AH$140,$AH$138=$BX$141)</formula>
    </cfRule>
    <cfRule type="expression" dxfId="1372" priority="1296">
      <formula>AND($AH$138=$AH$140,$AH$138=$BW$141)</formula>
    </cfRule>
    <cfRule type="expression" dxfId="1371" priority="1297">
      <formula>AND($AH$138=$AH$140,$AH$138=$BV$141)</formula>
    </cfRule>
    <cfRule type="expression" dxfId="1370" priority="1298">
      <formula>AND($AH$138=$AH$140,$AH$138=$BU$141)</formula>
    </cfRule>
    <cfRule type="expression" dxfId="1369" priority="1299">
      <formula>AND($AH$138=$AH$140,$AH$138=$BT$141)</formula>
    </cfRule>
  </conditionalFormatting>
  <conditionalFormatting sqref="W138">
    <cfRule type="containsText" dxfId="1368" priority="1293" operator="containsText" text=":">
      <formula>NOT(ISERROR(SEARCH(":",W138)))</formula>
    </cfRule>
  </conditionalFormatting>
  <conditionalFormatting sqref="N141">
    <cfRule type="containsText" dxfId="1367" priority="1287" operator="containsText" text=":">
      <formula>NOT(ISERROR(SEARCH(":",N141)))</formula>
    </cfRule>
  </conditionalFormatting>
  <conditionalFormatting sqref="V138:X138 M141:O141">
    <cfRule type="expression" dxfId="1366" priority="1288">
      <formula>AND($AH$138=$AH$141,$AH$138=$BX$141)</formula>
    </cfRule>
    <cfRule type="expression" dxfId="1365" priority="1289">
      <formula>AND($AH$138=$AH$141,$AH$138=$BW$141)</formula>
    </cfRule>
    <cfRule type="expression" dxfId="1364" priority="1290">
      <formula>AND($AH$138=$AH$141,$AH$138=$BV$141)</formula>
    </cfRule>
    <cfRule type="expression" dxfId="1363" priority="1291">
      <formula>AND($AH$138=$AH$141,$AH$138=$BU$141)</formula>
    </cfRule>
    <cfRule type="expression" dxfId="1362" priority="1292">
      <formula>AND($AH$138=$AH$141,$AH$138=$BT$141)</formula>
    </cfRule>
  </conditionalFormatting>
  <conditionalFormatting sqref="Z138">
    <cfRule type="containsText" dxfId="1361" priority="1286" operator="containsText" text=":">
      <formula>NOT(ISERROR(SEARCH(":",Z138)))</formula>
    </cfRule>
  </conditionalFormatting>
  <conditionalFormatting sqref="N142">
    <cfRule type="containsText" dxfId="1360" priority="1280" operator="containsText" text=":">
      <formula>NOT(ISERROR(SEARCH(":",N142)))</formula>
    </cfRule>
  </conditionalFormatting>
  <conditionalFormatting sqref="Y138:AA138 M142:O142">
    <cfRule type="expression" dxfId="1359" priority="1281">
      <formula>AND($AH$138=$AH$142,$AH$138=$BX$141)</formula>
    </cfRule>
    <cfRule type="expression" dxfId="1358" priority="1282">
      <formula>AND($AH$138=$AH$142,$AH$138=$BW$141)</formula>
    </cfRule>
    <cfRule type="expression" dxfId="1357" priority="1283">
      <formula>AND($AH$138=$AH$142,$AH$138=$BV$141)</formula>
    </cfRule>
    <cfRule type="expression" dxfId="1356" priority="1284">
      <formula>AND($AH$138=$AH$142,$AH$138=$BU$141)</formula>
    </cfRule>
    <cfRule type="expression" dxfId="1355" priority="1285">
      <formula>AND($AH$138=$AH$142,$AH$138=$BT$141)</formula>
    </cfRule>
  </conditionalFormatting>
  <conditionalFormatting sqref="AC138">
    <cfRule type="containsText" dxfId="1354" priority="1279" operator="containsText" text=":">
      <formula>NOT(ISERROR(SEARCH(":",AC138)))</formula>
    </cfRule>
  </conditionalFormatting>
  <conditionalFormatting sqref="N143">
    <cfRule type="containsText" dxfId="1353" priority="1273" operator="containsText" text=":">
      <formula>NOT(ISERROR(SEARCH(":",N143)))</formula>
    </cfRule>
  </conditionalFormatting>
  <conditionalFormatting sqref="AB138:AD138 M143:O143">
    <cfRule type="expression" dxfId="1352" priority="1274">
      <formula>AND($AH$138=$AH$143,$AH$138=$BX$141)</formula>
    </cfRule>
    <cfRule type="expression" dxfId="1351" priority="1275">
      <formula>AND($AH$138=$AH$143,$AH$138=$BW$141)</formula>
    </cfRule>
    <cfRule type="expression" dxfId="1350" priority="1276">
      <formula>AND($AH$138=$AH$143,$AH$138=$BV$141)</formula>
    </cfRule>
    <cfRule type="expression" dxfId="1349" priority="1277">
      <formula>AND($AH$138=$AH$143,$AH$138=$BU$141)</formula>
    </cfRule>
    <cfRule type="expression" dxfId="1348" priority="1278">
      <formula>AND($AH$138=$AH$143,$AH$138=$BT$141)</formula>
    </cfRule>
  </conditionalFormatting>
  <conditionalFormatting sqref="T139">
    <cfRule type="containsText" dxfId="1347" priority="1272" operator="containsText" text=":">
      <formula>NOT(ISERROR(SEARCH(":",T139)))</formula>
    </cfRule>
  </conditionalFormatting>
  <conditionalFormatting sqref="Q140">
    <cfRule type="containsText" dxfId="1346" priority="1266" operator="containsText" text=":">
      <formula>NOT(ISERROR(SEARCH(":",Q140)))</formula>
    </cfRule>
  </conditionalFormatting>
  <conditionalFormatting sqref="S139:U139 P140:R140">
    <cfRule type="expression" dxfId="1345" priority="1267">
      <formula>AND($AH$139=$AH$140,$AH$139=$BX$141)</formula>
    </cfRule>
    <cfRule type="expression" dxfId="1344" priority="1268">
      <formula>AND($AH$139=$AH$140,$AH$139=$BW$141)</formula>
    </cfRule>
    <cfRule type="expression" dxfId="1343" priority="1269">
      <formula>AND($AH$139=$AH$140,$AH$139=$BV$141)</formula>
    </cfRule>
    <cfRule type="expression" dxfId="1342" priority="1270">
      <formula>AND($AH$139=$AH$140,$AH$139=$BU$141)</formula>
    </cfRule>
    <cfRule type="expression" dxfId="1341" priority="1271">
      <formula>AND($AH$139=$AH$140,$AH$139=$BT$141)</formula>
    </cfRule>
  </conditionalFormatting>
  <conditionalFormatting sqref="W139">
    <cfRule type="containsText" dxfId="1340" priority="1265" operator="containsText" text=":">
      <formula>NOT(ISERROR(SEARCH(":",W139)))</formula>
    </cfRule>
  </conditionalFormatting>
  <conditionalFormatting sqref="Q141">
    <cfRule type="containsText" dxfId="1339" priority="1259" operator="containsText" text=":">
      <formula>NOT(ISERROR(SEARCH(":",Q141)))</formula>
    </cfRule>
  </conditionalFormatting>
  <conditionalFormatting sqref="V139:X139 P141:R141">
    <cfRule type="expression" dxfId="1338" priority="1260">
      <formula>AND($AH$139=$AH$141,$AH$139=$BX$141)</formula>
    </cfRule>
    <cfRule type="expression" dxfId="1337" priority="1261">
      <formula>AND($AH$139=$AH$141,$AH$139=$BW$141)</formula>
    </cfRule>
    <cfRule type="expression" dxfId="1336" priority="1262">
      <formula>AND($AH$139=$AH$141,$AH$139=$BV$141)</formula>
    </cfRule>
    <cfRule type="expression" dxfId="1335" priority="1263">
      <formula>AND($AH$139=$AH$141,$AH$139=$BU$141)</formula>
    </cfRule>
    <cfRule type="expression" dxfId="1334" priority="1264">
      <formula>AND($AH$139=$AH$141,$AH$139=$BT$141)</formula>
    </cfRule>
  </conditionalFormatting>
  <conditionalFormatting sqref="Z139">
    <cfRule type="containsText" dxfId="1333" priority="1258" operator="containsText" text=":">
      <formula>NOT(ISERROR(SEARCH(":",Z139)))</formula>
    </cfRule>
  </conditionalFormatting>
  <conditionalFormatting sqref="Q142">
    <cfRule type="containsText" dxfId="1332" priority="1252" operator="containsText" text=":">
      <formula>NOT(ISERROR(SEARCH(":",Q142)))</formula>
    </cfRule>
  </conditionalFormatting>
  <conditionalFormatting sqref="Y139:AA139 P142:R142">
    <cfRule type="expression" dxfId="1331" priority="1253">
      <formula>AND($AH$139=$AH$142,$AH$139=$BX$141)</formula>
    </cfRule>
    <cfRule type="expression" dxfId="1330" priority="1254">
      <formula>AND($AH$139=$AH$142,$AH$139=$BW$141)</formula>
    </cfRule>
    <cfRule type="expression" dxfId="1329" priority="1255">
      <formula>AND($AH$139=$AH$142,$AH$139=$BV$141)</formula>
    </cfRule>
    <cfRule type="expression" dxfId="1328" priority="1256">
      <formula>AND($AH$139=$AH$142,$AH$139=$BU$141)</formula>
    </cfRule>
    <cfRule type="expression" dxfId="1327" priority="1257">
      <formula>AND($AH$139=$AH$142,$AH$139=$BT$141)</formula>
    </cfRule>
  </conditionalFormatting>
  <conditionalFormatting sqref="AC139">
    <cfRule type="containsText" dxfId="1326" priority="1251" operator="containsText" text=":">
      <formula>NOT(ISERROR(SEARCH(":",AC139)))</formula>
    </cfRule>
  </conditionalFormatting>
  <conditionalFormatting sqref="Q143">
    <cfRule type="containsText" dxfId="1325" priority="1245" operator="containsText" text=":">
      <formula>NOT(ISERROR(SEARCH(":",Q143)))</formula>
    </cfRule>
  </conditionalFormatting>
  <conditionalFormatting sqref="AB139:AD139 P143:R143">
    <cfRule type="expression" dxfId="1324" priority="1246">
      <formula>AND($AH$139=$AH$143,$AH$139=$BX$141)</formula>
    </cfRule>
    <cfRule type="expression" dxfId="1323" priority="1247">
      <formula>AND($AH$139=$AH$143,$AH$139=$BW$141)</formula>
    </cfRule>
    <cfRule type="expression" dxfId="1322" priority="1248">
      <formula>AND($AH$139=$AH$143,$AH$139=$BV$141)</formula>
    </cfRule>
    <cfRule type="expression" dxfId="1321" priority="1249">
      <formula>AND($AH$139=$AH$143,$AH$139=$BU$141)</formula>
    </cfRule>
    <cfRule type="expression" dxfId="1320" priority="1250">
      <formula>AND($AH$139=$AH$143,$AH$139=$BT$141)</formula>
    </cfRule>
  </conditionalFormatting>
  <conditionalFormatting sqref="W140">
    <cfRule type="containsText" dxfId="1319" priority="1244" operator="containsText" text=":">
      <formula>NOT(ISERROR(SEARCH(":",W140)))</formula>
    </cfRule>
  </conditionalFormatting>
  <conditionalFormatting sqref="T141">
    <cfRule type="containsText" dxfId="1318" priority="1238" operator="containsText" text=":">
      <formula>NOT(ISERROR(SEARCH(":",T141)))</formula>
    </cfRule>
  </conditionalFormatting>
  <conditionalFormatting sqref="V140:X140 S141:U141">
    <cfRule type="expression" dxfId="1317" priority="1239">
      <formula>AND($AH$140=$AH$141,$AH$140=$BX$141)</formula>
    </cfRule>
    <cfRule type="expression" dxfId="1316" priority="1240">
      <formula>AND($AH$140=$AH$141,$AH$140=$BW$141)</formula>
    </cfRule>
    <cfRule type="expression" dxfId="1315" priority="1241">
      <formula>AND($AH$140=$AH$141,$AH$140=$BV$141)</formula>
    </cfRule>
    <cfRule type="expression" dxfId="1314" priority="1242">
      <formula>AND($AH$140=$AH$141,$AH$140=$BU$141)</formula>
    </cfRule>
    <cfRule type="expression" dxfId="1313" priority="1243">
      <formula>AND($AH$140=$AH$141,$AH$140=$BT$141)</formula>
    </cfRule>
  </conditionalFormatting>
  <conditionalFormatting sqref="Z140">
    <cfRule type="containsText" dxfId="1312" priority="1237" operator="containsText" text=":">
      <formula>NOT(ISERROR(SEARCH(":",Z140)))</formula>
    </cfRule>
  </conditionalFormatting>
  <conditionalFormatting sqref="T142">
    <cfRule type="containsText" dxfId="1311" priority="1231" operator="containsText" text=":">
      <formula>NOT(ISERROR(SEARCH(":",T142)))</formula>
    </cfRule>
  </conditionalFormatting>
  <conditionalFormatting sqref="Y140:AA140 S142:U142">
    <cfRule type="expression" dxfId="1310" priority="1232">
      <formula>AND($AH$140=$AH$142,$AH$140=$BX$141)</formula>
    </cfRule>
    <cfRule type="expression" dxfId="1309" priority="1233">
      <formula>AND($AH$140=$AH$142,$AH$140=$BW$141)</formula>
    </cfRule>
    <cfRule type="expression" dxfId="1308" priority="1234">
      <formula>AND($AH$140=$AH$142,$AH$140=$BV$141)</formula>
    </cfRule>
    <cfRule type="expression" dxfId="1307" priority="1235">
      <formula>AND($AH$140=$AH$142,$AH$140=$BU$141)</formula>
    </cfRule>
    <cfRule type="expression" dxfId="1306" priority="1236">
      <formula>AND($AH$140=$AH$142,$AH$140=$BT$141)</formula>
    </cfRule>
  </conditionalFormatting>
  <conditionalFormatting sqref="AC140">
    <cfRule type="containsText" dxfId="1305" priority="1230" operator="containsText" text=":">
      <formula>NOT(ISERROR(SEARCH(":",AC140)))</formula>
    </cfRule>
  </conditionalFormatting>
  <conditionalFormatting sqref="T143">
    <cfRule type="containsText" dxfId="1304" priority="1224" operator="containsText" text=":">
      <formula>NOT(ISERROR(SEARCH(":",T143)))</formula>
    </cfRule>
  </conditionalFormatting>
  <conditionalFormatting sqref="AB140:AD140 S143:U143">
    <cfRule type="expression" dxfId="1303" priority="1225">
      <formula>AND($AH$140=$AH$143,$AH$140=$BX$141)</formula>
    </cfRule>
    <cfRule type="expression" dxfId="1302" priority="1226">
      <formula>AND($AH$140=$AH$143,$AH$140=$BW$141)</formula>
    </cfRule>
    <cfRule type="expression" dxfId="1301" priority="1227">
      <formula>AND($AH$140=$AH$143,$AH$140=$BV$141)</formula>
    </cfRule>
    <cfRule type="expression" dxfId="1300" priority="1228">
      <formula>AND($AH$140=$AH$143,$AH$140=$BU$141)</formula>
    </cfRule>
    <cfRule type="expression" dxfId="1299" priority="1229">
      <formula>AND($AH$140=$AH$143,$AH$140=$BT$141)</formula>
    </cfRule>
  </conditionalFormatting>
  <conditionalFormatting sqref="Z141">
    <cfRule type="containsText" dxfId="1298" priority="1223" operator="containsText" text=":">
      <formula>NOT(ISERROR(SEARCH(":",Z141)))</formula>
    </cfRule>
  </conditionalFormatting>
  <conditionalFormatting sqref="W142">
    <cfRule type="containsText" dxfId="1297" priority="1217" operator="containsText" text=":">
      <formula>NOT(ISERROR(SEARCH(":",W142)))</formula>
    </cfRule>
  </conditionalFormatting>
  <conditionalFormatting sqref="Y141:AA141 V142:X142">
    <cfRule type="expression" dxfId="1296" priority="1218">
      <formula>AND($AH$141=$AH$142,$AH$141=$BX$141)</formula>
    </cfRule>
    <cfRule type="expression" dxfId="1295" priority="1219">
      <formula>AND($AH$141=$AH$142,$AH$141=$BW$141)</formula>
    </cfRule>
    <cfRule type="expression" dxfId="1294" priority="1220">
      <formula>AND($AH$141=$AH$142,$AH$141=$BV$141)</formula>
    </cfRule>
    <cfRule type="expression" dxfId="1293" priority="1221">
      <formula>AND($AH$141=$AH$142,$AH$141=$BU$141)</formula>
    </cfRule>
    <cfRule type="expression" dxfId="1292" priority="1222">
      <formula>AND($AH$141=$AH$142,$AH$141=$BT$141)</formula>
    </cfRule>
  </conditionalFormatting>
  <conditionalFormatting sqref="AC141">
    <cfRule type="containsText" dxfId="1291" priority="1216" operator="containsText" text=":">
      <formula>NOT(ISERROR(SEARCH(":",AC141)))</formula>
    </cfRule>
  </conditionalFormatting>
  <conditionalFormatting sqref="W143">
    <cfRule type="containsText" dxfId="1290" priority="1210" operator="containsText" text=":">
      <formula>NOT(ISERROR(SEARCH(":",W143)))</formula>
    </cfRule>
  </conditionalFormatting>
  <conditionalFormatting sqref="AB141:AD141 V143:X143">
    <cfRule type="expression" dxfId="1289" priority="1211">
      <formula>AND($AH$141=$AH$143,$AH$141=$BX$141)</formula>
    </cfRule>
    <cfRule type="expression" dxfId="1288" priority="1212">
      <formula>AND($AH$141=$AH$143,$AH$141=$BW$141)</formula>
    </cfRule>
    <cfRule type="expression" dxfId="1287" priority="1213">
      <formula>AND($AH$141=$AH$143,$AH$141=$BV$141)</formula>
    </cfRule>
    <cfRule type="expression" dxfId="1286" priority="1214">
      <formula>AND($AH$141=$AH$143,$AH$141=$BU$141)</formula>
    </cfRule>
    <cfRule type="expression" dxfId="1285" priority="1215">
      <formula>AND($AH$141=$AH$143,$AH$141=$BT$141)</formula>
    </cfRule>
  </conditionalFormatting>
  <conditionalFormatting sqref="AC142">
    <cfRule type="containsText" dxfId="1284" priority="1209" operator="containsText" text=":">
      <formula>NOT(ISERROR(SEARCH(":",AC142)))</formula>
    </cfRule>
  </conditionalFormatting>
  <conditionalFormatting sqref="Z143">
    <cfRule type="containsText" dxfId="1283" priority="1203" operator="containsText" text=":">
      <formula>NOT(ISERROR(SEARCH(":",Z143)))</formula>
    </cfRule>
  </conditionalFormatting>
  <conditionalFormatting sqref="AB142:AD142 Y143:AA143">
    <cfRule type="expression" dxfId="1282" priority="1204">
      <formula>AND($AH$142=$AH$143,$AH$142=$BX$141)</formula>
    </cfRule>
    <cfRule type="expression" dxfId="1281" priority="1205">
      <formula>AND($AH$142=$AH$143,$AH$142=$BW$141)</formula>
    </cfRule>
    <cfRule type="expression" dxfId="1280" priority="1206">
      <formula>AND($AH$142=$AH$143,$AH$142=$BV$141)</formula>
    </cfRule>
    <cfRule type="expression" dxfId="1279" priority="1207">
      <formula>AND($AH$142=$AH$143,$AH$142=$BU$141)</formula>
    </cfRule>
    <cfRule type="expression" dxfId="1278" priority="1208">
      <formula>AND($AH$142=$AH$143,$AH$142=$BT$141)</formula>
    </cfRule>
  </conditionalFormatting>
  <conditionalFormatting sqref="J59:AD59">
    <cfRule type="cellIs" dxfId="1277" priority="1202" operator="equal">
      <formula>0</formula>
    </cfRule>
  </conditionalFormatting>
  <conditionalFormatting sqref="AH60:AI66">
    <cfRule type="expression" dxfId="1276" priority="1201">
      <formula>$AJ60+$AL60&gt;0</formula>
    </cfRule>
  </conditionalFormatting>
  <conditionalFormatting sqref="AM60:AM66">
    <cfRule type="expression" dxfId="1275" priority="1200">
      <formula>$AJ60+$AL60&gt;0</formula>
    </cfRule>
  </conditionalFormatting>
  <conditionalFormatting sqref="AN59:AO66">
    <cfRule type="expression" dxfId="1274" priority="1199">
      <formula>$AU$67&gt;0</formula>
    </cfRule>
  </conditionalFormatting>
  <conditionalFormatting sqref="AN60:AN66">
    <cfRule type="cellIs" dxfId="1273" priority="1198" operator="equal">
      <formula>0</formula>
    </cfRule>
  </conditionalFormatting>
  <conditionalFormatting sqref="AO60">
    <cfRule type="expression" dxfId="1272" priority="1197">
      <formula>$BD60+$BO60=0</formula>
    </cfRule>
  </conditionalFormatting>
  <conditionalFormatting sqref="AO61:AO66">
    <cfRule type="expression" dxfId="1271" priority="1196">
      <formula>$BD61+$BO61=0</formula>
    </cfRule>
  </conditionalFormatting>
  <conditionalFormatting sqref="AP59:AP66">
    <cfRule type="expression" dxfId="1270" priority="1195">
      <formula>$BZ$67&gt;1</formula>
    </cfRule>
  </conditionalFormatting>
  <conditionalFormatting sqref="AP60:AP66">
    <cfRule type="containsText" dxfId="1269" priority="1194" operator="containsText" text="?">
      <formula>NOT(ISERROR(SEARCH("?",AP60)))</formula>
    </cfRule>
  </conditionalFormatting>
  <conditionalFormatting sqref="AN60">
    <cfRule type="expression" dxfId="1268" priority="1193">
      <formula>$BD60+$BO60=0</formula>
    </cfRule>
  </conditionalFormatting>
  <conditionalFormatting sqref="AN61">
    <cfRule type="expression" dxfId="1267" priority="1192">
      <formula>$BD61+$BO61=0</formula>
    </cfRule>
  </conditionalFormatting>
  <conditionalFormatting sqref="AN62">
    <cfRule type="expression" dxfId="1266" priority="1191">
      <formula>$BD62+$BO62=0</formula>
    </cfRule>
  </conditionalFormatting>
  <conditionalFormatting sqref="AN63">
    <cfRule type="expression" dxfId="1265" priority="1190">
      <formula>$BD63+$BO63=0</formula>
    </cfRule>
  </conditionalFormatting>
  <conditionalFormatting sqref="AN64">
    <cfRule type="expression" dxfId="1264" priority="1189">
      <formula>$BD64+$BO64=0</formula>
    </cfRule>
  </conditionalFormatting>
  <conditionalFormatting sqref="AN65">
    <cfRule type="expression" dxfId="1263" priority="1188">
      <formula>$BD65+$BO65=0</formula>
    </cfRule>
  </conditionalFormatting>
  <conditionalFormatting sqref="AN66">
    <cfRule type="expression" dxfId="1262" priority="1187">
      <formula>$BD66+$BO66=0</formula>
    </cfRule>
  </conditionalFormatting>
  <conditionalFormatting sqref="AN60:AO60 AH60:AI66">
    <cfRule type="expression" dxfId="1261" priority="1176">
      <formula>$AH60=$BX$64</formula>
    </cfRule>
    <cfRule type="expression" dxfId="1260" priority="1183">
      <formula>$AH60=$BW$64</formula>
    </cfRule>
    <cfRule type="expression" dxfId="1259" priority="1184">
      <formula>$AH60=$BV$64</formula>
    </cfRule>
    <cfRule type="expression" dxfId="1258" priority="1185">
      <formula>$AH60=$BU$64</formula>
    </cfRule>
    <cfRule type="expression" dxfId="1257" priority="1186">
      <formula>$AH60=$BT$64</formula>
    </cfRule>
  </conditionalFormatting>
  <conditionalFormatting sqref="AO61:AO66">
    <cfRule type="expression" dxfId="1256" priority="1182">
      <formula>$BD61+$BO61=0</formula>
    </cfRule>
  </conditionalFormatting>
  <conditionalFormatting sqref="AN61:AN66">
    <cfRule type="expression" dxfId="1255" priority="1181">
      <formula>$BD61+$BO61=0</formula>
    </cfRule>
  </conditionalFormatting>
  <conditionalFormatting sqref="AN61:AO66">
    <cfRule type="expression" dxfId="1254" priority="1177">
      <formula>$AH61=$BW$64</formula>
    </cfRule>
    <cfRule type="expression" dxfId="1253" priority="1178">
      <formula>$AH61=$BV$64</formula>
    </cfRule>
    <cfRule type="expression" dxfId="1252" priority="1179">
      <formula>$AH61=$BU$64</formula>
    </cfRule>
    <cfRule type="expression" dxfId="1251" priority="1180">
      <formula>$AH61=$BT$64</formula>
    </cfRule>
  </conditionalFormatting>
  <conditionalFormatting sqref="AO61:AO66">
    <cfRule type="expression" dxfId="1250" priority="1175">
      <formula>$BD61+$BO61=0</formula>
    </cfRule>
  </conditionalFormatting>
  <conditionalFormatting sqref="AN61:AN66">
    <cfRule type="expression" dxfId="1249" priority="1174">
      <formula>$BD61+$BO61=0</formula>
    </cfRule>
  </conditionalFormatting>
  <conditionalFormatting sqref="AN61:AO66">
    <cfRule type="expression" dxfId="1248" priority="1169">
      <formula>$AH61=$BX$64</formula>
    </cfRule>
    <cfRule type="expression" dxfId="1247" priority="1170">
      <formula>$AH61=$BW$64</formula>
    </cfRule>
    <cfRule type="expression" dxfId="1246" priority="1171">
      <formula>$AH61=$BV$64</formula>
    </cfRule>
    <cfRule type="expression" dxfId="1245" priority="1172">
      <formula>$AH61=$BU$64</formula>
    </cfRule>
    <cfRule type="expression" dxfId="1244" priority="1173">
      <formula>$AH61=$BT$64</formula>
    </cfRule>
  </conditionalFormatting>
  <conditionalFormatting sqref="J70:AD70">
    <cfRule type="cellIs" dxfId="1243" priority="1168" operator="equal">
      <formula>0</formula>
    </cfRule>
  </conditionalFormatting>
  <conditionalFormatting sqref="J81:AD81">
    <cfRule type="cellIs" dxfId="1242" priority="1167" operator="equal">
      <formula>0</formula>
    </cfRule>
  </conditionalFormatting>
  <conditionalFormatting sqref="J92:AD92">
    <cfRule type="cellIs" dxfId="1241" priority="1166" operator="equal">
      <formula>0</formula>
    </cfRule>
  </conditionalFormatting>
  <conditionalFormatting sqref="AM71:AM77">
    <cfRule type="expression" dxfId="1240" priority="1165">
      <formula>$AJ71+$AL71&gt;0</formula>
    </cfRule>
  </conditionalFormatting>
  <conditionalFormatting sqref="AN70:AO77">
    <cfRule type="expression" dxfId="1239" priority="1164">
      <formula>$AU$78&gt;0</formula>
    </cfRule>
  </conditionalFormatting>
  <conditionalFormatting sqref="AN71:AN77">
    <cfRule type="cellIs" dxfId="1238" priority="1163" operator="equal">
      <formula>0</formula>
    </cfRule>
  </conditionalFormatting>
  <conditionalFormatting sqref="AO71">
    <cfRule type="expression" dxfId="1237" priority="1162">
      <formula>$BD71+$BO71=0</formula>
    </cfRule>
  </conditionalFormatting>
  <conditionalFormatting sqref="AO72:AO77">
    <cfRule type="expression" dxfId="1236" priority="1161">
      <formula>$BD72+$BO72=0</formula>
    </cfRule>
  </conditionalFormatting>
  <conditionalFormatting sqref="AP70:AP77">
    <cfRule type="expression" dxfId="1235" priority="1160">
      <formula>$BZ$78&gt;1</formula>
    </cfRule>
  </conditionalFormatting>
  <conditionalFormatting sqref="AP71:AP77">
    <cfRule type="containsText" dxfId="1234" priority="1159" operator="containsText" text="?">
      <formula>NOT(ISERROR(SEARCH("?",AP71)))</formula>
    </cfRule>
  </conditionalFormatting>
  <conditionalFormatting sqref="AN71">
    <cfRule type="expression" dxfId="1233" priority="1158">
      <formula>$BD71+$BO71=0</formula>
    </cfRule>
  </conditionalFormatting>
  <conditionalFormatting sqref="AN72">
    <cfRule type="expression" dxfId="1232" priority="1157">
      <formula>$BD72+$BO72=0</formula>
    </cfRule>
  </conditionalFormatting>
  <conditionalFormatting sqref="AN73">
    <cfRule type="expression" dxfId="1231" priority="1156">
      <formula>$BD73+$BO73=0</formula>
    </cfRule>
  </conditionalFormatting>
  <conditionalFormatting sqref="AN74">
    <cfRule type="expression" dxfId="1230" priority="1155">
      <formula>$BD74+$BO74=0</formula>
    </cfRule>
  </conditionalFormatting>
  <conditionalFormatting sqref="AN75">
    <cfRule type="expression" dxfId="1229" priority="1154">
      <formula>$BD75+$BO75=0</formula>
    </cfRule>
  </conditionalFormatting>
  <conditionalFormatting sqref="AN76">
    <cfRule type="expression" dxfId="1228" priority="1153">
      <formula>$BD76+$BO76=0</formula>
    </cfRule>
  </conditionalFormatting>
  <conditionalFormatting sqref="AN77">
    <cfRule type="expression" dxfId="1227" priority="1152">
      <formula>$BD77+$BO77=0</formula>
    </cfRule>
  </conditionalFormatting>
  <conditionalFormatting sqref="AN71:AO71">
    <cfRule type="expression" dxfId="1226" priority="1141">
      <formula>$AH71=$BX$75</formula>
    </cfRule>
    <cfRule type="expression" dxfId="1225" priority="1148">
      <formula>$AH71=$BW$75</formula>
    </cfRule>
    <cfRule type="expression" dxfId="1224" priority="1149">
      <formula>$AH71=$BV$75</formula>
    </cfRule>
    <cfRule type="expression" dxfId="1223" priority="1150">
      <formula>$AH71=$BU$75</formula>
    </cfRule>
    <cfRule type="expression" dxfId="1222" priority="1151">
      <formula>$AH71=$BT$75</formula>
    </cfRule>
  </conditionalFormatting>
  <conditionalFormatting sqref="AO72:AO77">
    <cfRule type="expression" dxfId="1221" priority="1147">
      <formula>$BD72+$BO72=0</formula>
    </cfRule>
  </conditionalFormatting>
  <conditionalFormatting sqref="AN72:AN77">
    <cfRule type="expression" dxfId="1220" priority="1146">
      <formula>$BD72+$BO72=0</formula>
    </cfRule>
  </conditionalFormatting>
  <conditionalFormatting sqref="AN72:AO77">
    <cfRule type="expression" dxfId="1219" priority="1142">
      <formula>$AH72=$BW$75</formula>
    </cfRule>
    <cfRule type="expression" dxfId="1218" priority="1143">
      <formula>$AH72=$BV$75</formula>
    </cfRule>
    <cfRule type="expression" dxfId="1217" priority="1144">
      <formula>$AH72=$BU$75</formula>
    </cfRule>
    <cfRule type="expression" dxfId="1216" priority="1145">
      <formula>$AH72=$BT$75</formula>
    </cfRule>
  </conditionalFormatting>
  <conditionalFormatting sqref="AO72:AO77">
    <cfRule type="expression" dxfId="1215" priority="1140">
      <formula>$BD72+$BO72=0</formula>
    </cfRule>
  </conditionalFormatting>
  <conditionalFormatting sqref="AN72:AN77">
    <cfRule type="expression" dxfId="1214" priority="1139">
      <formula>$BD72+$BO72=0</formula>
    </cfRule>
  </conditionalFormatting>
  <conditionalFormatting sqref="AN72:AO77">
    <cfRule type="expression" dxfId="1213" priority="1134">
      <formula>$AH72=$BX$75</formula>
    </cfRule>
    <cfRule type="expression" dxfId="1212" priority="1135">
      <formula>$AH72=$BW$75</formula>
    </cfRule>
    <cfRule type="expression" dxfId="1211" priority="1136">
      <formula>$AH72=$BV$75</formula>
    </cfRule>
    <cfRule type="expression" dxfId="1210" priority="1137">
      <formula>$AH72=$BU$75</formula>
    </cfRule>
    <cfRule type="expression" dxfId="1209" priority="1138">
      <formula>$AH72=$BT$75</formula>
    </cfRule>
  </conditionalFormatting>
  <conditionalFormatting sqref="AM82:AM88">
    <cfRule type="expression" dxfId="1208" priority="1133">
      <formula>$AJ82+$AL82&gt;0</formula>
    </cfRule>
  </conditionalFormatting>
  <conditionalFormatting sqref="AN81:AO88">
    <cfRule type="expression" dxfId="1207" priority="1132">
      <formula>$AU$89&gt;0</formula>
    </cfRule>
  </conditionalFormatting>
  <conditionalFormatting sqref="AN82:AN88">
    <cfRule type="cellIs" dxfId="1206" priority="1131" operator="equal">
      <formula>0</formula>
    </cfRule>
  </conditionalFormatting>
  <conditionalFormatting sqref="AO82">
    <cfRule type="expression" dxfId="1205" priority="1130">
      <formula>$BD82+$BO82=0</formula>
    </cfRule>
  </conditionalFormatting>
  <conditionalFormatting sqref="AO83:AO88">
    <cfRule type="expression" dxfId="1204" priority="1129">
      <formula>$BD83+$BO83=0</formula>
    </cfRule>
  </conditionalFormatting>
  <conditionalFormatting sqref="AP81:AP88">
    <cfRule type="expression" dxfId="1203" priority="1128">
      <formula>$BZ$89&gt;1</formula>
    </cfRule>
  </conditionalFormatting>
  <conditionalFormatting sqref="AP82:AP88">
    <cfRule type="containsText" dxfId="1202" priority="1127" operator="containsText" text="?">
      <formula>NOT(ISERROR(SEARCH("?",AP82)))</formula>
    </cfRule>
  </conditionalFormatting>
  <conditionalFormatting sqref="AN82">
    <cfRule type="expression" dxfId="1201" priority="1126">
      <formula>$BD82+$BO82=0</formula>
    </cfRule>
  </conditionalFormatting>
  <conditionalFormatting sqref="AN83">
    <cfRule type="expression" dxfId="1200" priority="1125">
      <formula>$BD83+$BO83=0</formula>
    </cfRule>
  </conditionalFormatting>
  <conditionalFormatting sqref="AN84">
    <cfRule type="expression" dxfId="1199" priority="1124">
      <formula>$BD84+$BO84=0</formula>
    </cfRule>
  </conditionalFormatting>
  <conditionalFormatting sqref="AN85">
    <cfRule type="expression" dxfId="1198" priority="1123">
      <formula>$BD85+$BO85=0</formula>
    </cfRule>
  </conditionalFormatting>
  <conditionalFormatting sqref="AN86">
    <cfRule type="expression" dxfId="1197" priority="1122">
      <formula>$BD86+$BO86=0</formula>
    </cfRule>
  </conditionalFormatting>
  <conditionalFormatting sqref="AN87">
    <cfRule type="expression" dxfId="1196" priority="1121">
      <formula>$BD87+$BO87=0</formula>
    </cfRule>
  </conditionalFormatting>
  <conditionalFormatting sqref="AN88">
    <cfRule type="expression" dxfId="1195" priority="1120">
      <formula>$BD88+$BO88=0</formula>
    </cfRule>
  </conditionalFormatting>
  <conditionalFormatting sqref="AN82:AO82">
    <cfRule type="expression" dxfId="1194" priority="1109">
      <formula>$AH82=$BX$86</formula>
    </cfRule>
    <cfRule type="expression" dxfId="1193" priority="1116">
      <formula>$AH82=$BW$86</formula>
    </cfRule>
    <cfRule type="expression" dxfId="1192" priority="1117">
      <formula>$AH82=$BV$86</formula>
    </cfRule>
    <cfRule type="expression" dxfId="1191" priority="1118">
      <formula>$AH82=$BU$86</formula>
    </cfRule>
    <cfRule type="expression" dxfId="1190" priority="1119">
      <formula>$AH82=$BT$86</formula>
    </cfRule>
  </conditionalFormatting>
  <conditionalFormatting sqref="AO83:AO88">
    <cfRule type="expression" dxfId="1189" priority="1115">
      <formula>$BD83+$BO83=0</formula>
    </cfRule>
  </conditionalFormatting>
  <conditionalFormatting sqref="AN83:AN88">
    <cfRule type="expression" dxfId="1188" priority="1114">
      <formula>$BD83+$BO83=0</formula>
    </cfRule>
  </conditionalFormatting>
  <conditionalFormatting sqref="AN83:AO88">
    <cfRule type="expression" dxfId="1187" priority="1110">
      <formula>$AH83=$BW$86</formula>
    </cfRule>
    <cfRule type="expression" dxfId="1186" priority="1111">
      <formula>$AH83=$BV$86</formula>
    </cfRule>
    <cfRule type="expression" dxfId="1185" priority="1112">
      <formula>$AH83=$BU$86</formula>
    </cfRule>
    <cfRule type="expression" dxfId="1184" priority="1113">
      <formula>$AH83=$BT$86</formula>
    </cfRule>
  </conditionalFormatting>
  <conditionalFormatting sqref="AO83:AO88">
    <cfRule type="expression" dxfId="1183" priority="1108">
      <formula>$BD83+$BO83=0</formula>
    </cfRule>
  </conditionalFormatting>
  <conditionalFormatting sqref="AN83:AN88">
    <cfRule type="expression" dxfId="1182" priority="1107">
      <formula>$BD83+$BO83=0</formula>
    </cfRule>
  </conditionalFormatting>
  <conditionalFormatting sqref="AN83:AO88">
    <cfRule type="expression" dxfId="1181" priority="1102">
      <formula>$AH83=$BX$86</formula>
    </cfRule>
    <cfRule type="expression" dxfId="1180" priority="1103">
      <formula>$AH83=$BW$86</formula>
    </cfRule>
    <cfRule type="expression" dxfId="1179" priority="1104">
      <formula>$AH83=$BV$86</formula>
    </cfRule>
    <cfRule type="expression" dxfId="1178" priority="1105">
      <formula>$AH83=$BU$86</formula>
    </cfRule>
    <cfRule type="expression" dxfId="1177" priority="1106">
      <formula>$AH83=$BT$86</formula>
    </cfRule>
  </conditionalFormatting>
  <conditionalFormatting sqref="AM93:AM99">
    <cfRule type="expression" dxfId="1176" priority="1101">
      <formula>$AJ93+$AL93&gt;0</formula>
    </cfRule>
  </conditionalFormatting>
  <conditionalFormatting sqref="AN92:AO99">
    <cfRule type="expression" dxfId="1175" priority="1100">
      <formula>$AU$100&gt;0</formula>
    </cfRule>
  </conditionalFormatting>
  <conditionalFormatting sqref="AN93:AN99">
    <cfRule type="cellIs" dxfId="1174" priority="1099" operator="equal">
      <formula>0</formula>
    </cfRule>
  </conditionalFormatting>
  <conditionalFormatting sqref="AO93">
    <cfRule type="expression" dxfId="1173" priority="1098">
      <formula>$BD93+$BO93=0</formula>
    </cfRule>
  </conditionalFormatting>
  <conditionalFormatting sqref="AO94:AO99">
    <cfRule type="expression" dxfId="1172" priority="1097">
      <formula>$BD94+$BO94=0</formula>
    </cfRule>
  </conditionalFormatting>
  <conditionalFormatting sqref="AP92:AP99">
    <cfRule type="expression" dxfId="1171" priority="1096">
      <formula>$BZ$100&gt;1</formula>
    </cfRule>
  </conditionalFormatting>
  <conditionalFormatting sqref="AP93:AP99">
    <cfRule type="containsText" dxfId="1170" priority="1095" operator="containsText" text="?">
      <formula>NOT(ISERROR(SEARCH("?",AP93)))</formula>
    </cfRule>
  </conditionalFormatting>
  <conditionalFormatting sqref="AN93">
    <cfRule type="expression" dxfId="1169" priority="1094">
      <formula>$BD93+$BO93=0</formula>
    </cfRule>
  </conditionalFormatting>
  <conditionalFormatting sqref="AN94">
    <cfRule type="expression" dxfId="1168" priority="1093">
      <formula>$BD94+$BO94=0</formula>
    </cfRule>
  </conditionalFormatting>
  <conditionalFormatting sqref="AN95">
    <cfRule type="expression" dxfId="1167" priority="1092">
      <formula>$BD95+$BO95=0</formula>
    </cfRule>
  </conditionalFormatting>
  <conditionalFormatting sqref="AN96">
    <cfRule type="expression" dxfId="1166" priority="1091">
      <formula>$BD96+$BO96=0</formula>
    </cfRule>
  </conditionalFormatting>
  <conditionalFormatting sqref="AN97">
    <cfRule type="expression" dxfId="1165" priority="1090">
      <formula>$BD97+$BO97=0</formula>
    </cfRule>
  </conditionalFormatting>
  <conditionalFormatting sqref="AN98">
    <cfRule type="expression" dxfId="1164" priority="1089">
      <formula>$BD98+$BO98=0</formula>
    </cfRule>
  </conditionalFormatting>
  <conditionalFormatting sqref="AN99">
    <cfRule type="expression" dxfId="1163" priority="1088">
      <formula>$BD99+$BO99=0</formula>
    </cfRule>
  </conditionalFormatting>
  <conditionalFormatting sqref="AN93:AO93">
    <cfRule type="expression" dxfId="1162" priority="1077">
      <formula>$AH93=$BX$97</formula>
    </cfRule>
    <cfRule type="expression" dxfId="1161" priority="1084">
      <formula>$AH93=$BW$97</formula>
    </cfRule>
    <cfRule type="expression" dxfId="1160" priority="1085">
      <formula>$AH93=$BV$97</formula>
    </cfRule>
    <cfRule type="expression" dxfId="1159" priority="1086">
      <formula>$AH93=$BU$97</formula>
    </cfRule>
    <cfRule type="expression" dxfId="1158" priority="1087">
      <formula>$AH93=$BT$97</formula>
    </cfRule>
  </conditionalFormatting>
  <conditionalFormatting sqref="AO94:AO99">
    <cfRule type="expression" dxfId="1157" priority="1083">
      <formula>$BD94+$BO94=0</formula>
    </cfRule>
  </conditionalFormatting>
  <conditionalFormatting sqref="AN94:AN99">
    <cfRule type="expression" dxfId="1156" priority="1082">
      <formula>$BD94+$BO94=0</formula>
    </cfRule>
  </conditionalFormatting>
  <conditionalFormatting sqref="AN94:AO99">
    <cfRule type="expression" dxfId="1155" priority="1078">
      <formula>$AH94=$BW$97</formula>
    </cfRule>
    <cfRule type="expression" dxfId="1154" priority="1079">
      <formula>$AH94=$BV$97</formula>
    </cfRule>
    <cfRule type="expression" dxfId="1153" priority="1080">
      <formula>$AH94=$BU$97</formula>
    </cfRule>
    <cfRule type="expression" dxfId="1152" priority="1081">
      <formula>$AH94=$BT$97</formula>
    </cfRule>
  </conditionalFormatting>
  <conditionalFormatting sqref="AO94:AO99">
    <cfRule type="expression" dxfId="1151" priority="1076">
      <formula>$BD94+$BO94=0</formula>
    </cfRule>
  </conditionalFormatting>
  <conditionalFormatting sqref="AN94:AN99">
    <cfRule type="expression" dxfId="1150" priority="1075">
      <formula>$BD94+$BO94=0</formula>
    </cfRule>
  </conditionalFormatting>
  <conditionalFormatting sqref="AN94:AO99">
    <cfRule type="expression" dxfId="1149" priority="1070">
      <formula>$AH94=$BX$97</formula>
    </cfRule>
    <cfRule type="expression" dxfId="1148" priority="1071">
      <formula>$AH94=$BW$97</formula>
    </cfRule>
    <cfRule type="expression" dxfId="1147" priority="1072">
      <formula>$AH94=$BV$97</formula>
    </cfRule>
    <cfRule type="expression" dxfId="1146" priority="1073">
      <formula>$AH94=$BU$97</formula>
    </cfRule>
    <cfRule type="expression" dxfId="1145" priority="1074">
      <formula>$AH94=$BT$97</formula>
    </cfRule>
  </conditionalFormatting>
  <conditionalFormatting sqref="N60">
    <cfRule type="containsText" dxfId="1144" priority="1069" operator="containsText" text=":">
      <formula>NOT(ISERROR(SEARCH(":",N60)))</formula>
    </cfRule>
  </conditionalFormatting>
  <conditionalFormatting sqref="Q60">
    <cfRule type="containsText" dxfId="1143" priority="1068" operator="containsText" text=":">
      <formula>NOT(ISERROR(SEARCH(":",Q60)))</formula>
    </cfRule>
  </conditionalFormatting>
  <conditionalFormatting sqref="AJ60:AL66">
    <cfRule type="expression" dxfId="1142" priority="1067">
      <formula>$AJ60+$AL60&gt;0</formula>
    </cfRule>
  </conditionalFormatting>
  <conditionalFormatting sqref="AH71:AI77">
    <cfRule type="expression" dxfId="1141" priority="1066">
      <formula>$AJ71+$AL71&gt;0</formula>
    </cfRule>
  </conditionalFormatting>
  <conditionalFormatting sqref="AH71:AI77">
    <cfRule type="expression" dxfId="1140" priority="1061">
      <formula>$AH71=$BX$75</formula>
    </cfRule>
    <cfRule type="expression" dxfId="1139" priority="1062">
      <formula>$AH71=$BW$75</formula>
    </cfRule>
    <cfRule type="expression" dxfId="1138" priority="1063">
      <formula>$AH71=$BV$75</formula>
    </cfRule>
    <cfRule type="expression" dxfId="1137" priority="1064">
      <formula>$AH71=$BU$75</formula>
    </cfRule>
    <cfRule type="expression" dxfId="1136" priority="1065">
      <formula>$AH71=$BT$75</formula>
    </cfRule>
  </conditionalFormatting>
  <conditionalFormatting sqref="AJ71:AL77">
    <cfRule type="expression" dxfId="1135" priority="1060">
      <formula>$AJ71+$AL71&gt;0</formula>
    </cfRule>
  </conditionalFormatting>
  <conditionalFormatting sqref="AH82:AI88">
    <cfRule type="expression" dxfId="1134" priority="1059">
      <formula>$AJ82+$AL82&gt;0</formula>
    </cfRule>
  </conditionalFormatting>
  <conditionalFormatting sqref="AH82:AI88">
    <cfRule type="expression" dxfId="1133" priority="1054">
      <formula>$AH82=$BX$86</formula>
    </cfRule>
    <cfRule type="expression" dxfId="1132" priority="1055">
      <formula>$AH82=$BW$86</formula>
    </cfRule>
    <cfRule type="expression" dxfId="1131" priority="1056">
      <formula>$AH82=$BV$86</formula>
    </cfRule>
    <cfRule type="expression" dxfId="1130" priority="1057">
      <formula>$AH82=$BU$86</formula>
    </cfRule>
    <cfRule type="expression" dxfId="1129" priority="1058">
      <formula>$AH82=$BT$86</formula>
    </cfRule>
  </conditionalFormatting>
  <conditionalFormatting sqref="AJ82:AL88">
    <cfRule type="expression" dxfId="1128" priority="1053">
      <formula>$AJ82+$AL82&gt;0</formula>
    </cfRule>
  </conditionalFormatting>
  <conditionalFormatting sqref="AH93:AI99">
    <cfRule type="expression" dxfId="1127" priority="1052">
      <formula>$AJ93+$AL93&gt;0</formula>
    </cfRule>
  </conditionalFormatting>
  <conditionalFormatting sqref="AH93:AI99">
    <cfRule type="expression" dxfId="1126" priority="1047">
      <formula>$AH93=$BX$97</formula>
    </cfRule>
    <cfRule type="expression" dxfId="1125" priority="1048">
      <formula>$AH93=$BW$97</formula>
    </cfRule>
    <cfRule type="expression" dxfId="1124" priority="1049">
      <formula>$AH93=$BV$97</formula>
    </cfRule>
    <cfRule type="expression" dxfId="1123" priority="1050">
      <formula>$AH93=$BU$97</formula>
    </cfRule>
    <cfRule type="expression" dxfId="1122" priority="1051">
      <formula>$AH93=$BT$97</formula>
    </cfRule>
  </conditionalFormatting>
  <conditionalFormatting sqref="AJ93:AL99">
    <cfRule type="expression" dxfId="1121" priority="1046">
      <formula>$AJ93+$AL93&gt;0</formula>
    </cfRule>
  </conditionalFormatting>
  <conditionalFormatting sqref="M60:O60 J61:L61">
    <cfRule type="expression" dxfId="1120" priority="1041">
      <formula>AND($AH$60=$AH$61,$AH$60=$BX$64)</formula>
    </cfRule>
    <cfRule type="expression" dxfId="1119" priority="1042">
      <formula>AND($AH$60=$AH$61,$AH$60=$BW$64)</formula>
    </cfRule>
    <cfRule type="expression" dxfId="1118" priority="1043">
      <formula>AND($AH$60=$AH$61,$AH$60=$BV$64)</formula>
    </cfRule>
    <cfRule type="expression" dxfId="1117" priority="1044">
      <formula>AND($AH$60=$AH$61,$AH$60=$BU$64)</formula>
    </cfRule>
    <cfRule type="expression" dxfId="1116" priority="1045">
      <formula>AND($AH$60=$AH$61,$AH$60=$BT$64)</formula>
    </cfRule>
  </conditionalFormatting>
  <conditionalFormatting sqref="P60:R60 J62:L62">
    <cfRule type="expression" dxfId="1115" priority="1036">
      <formula>AND($AH$60=$AH$62,$AH$60=$BX$64)</formula>
    </cfRule>
    <cfRule type="expression" dxfId="1114" priority="1037">
      <formula>AND($AH$60=$AH$62,$AH$60=$BW$64)</formula>
    </cfRule>
    <cfRule type="expression" dxfId="1113" priority="1038">
      <formula>AND($AH$60=$AH$62,$AH$60=$BV$64)</formula>
    </cfRule>
    <cfRule type="expression" dxfId="1112" priority="1039">
      <formula>AND($AH$60=$AH$62,$AH$60=$BU$64)</formula>
    </cfRule>
    <cfRule type="expression" dxfId="1111" priority="1040">
      <formula>AND($AH$60=$AH$62,$AH$60=$BT$64)</formula>
    </cfRule>
  </conditionalFormatting>
  <conditionalFormatting sqref="T60">
    <cfRule type="containsText" dxfId="1110" priority="1035" operator="containsText" text=":">
      <formula>NOT(ISERROR(SEARCH(":",T60)))</formula>
    </cfRule>
  </conditionalFormatting>
  <conditionalFormatting sqref="K63">
    <cfRule type="containsText" dxfId="1109" priority="1029" operator="containsText" text=":">
      <formula>NOT(ISERROR(SEARCH(":",K63)))</formula>
    </cfRule>
  </conditionalFormatting>
  <conditionalFormatting sqref="S60:U60 J63:L63">
    <cfRule type="expression" dxfId="1108" priority="1030">
      <formula>AND($AH$60=$AH$63,$AH$60=$BX$64)</formula>
    </cfRule>
    <cfRule type="expression" dxfId="1107" priority="1031">
      <formula>AND($AH$60=$AH$63,$AH$60=$BW$64)</formula>
    </cfRule>
    <cfRule type="expression" dxfId="1106" priority="1032">
      <formula>AND($AH$60=$AH$63,$AH$60=$BV$64)</formula>
    </cfRule>
    <cfRule type="expression" dxfId="1105" priority="1033">
      <formula>AND($AH$60=$AH$63,$AH$60=$BU$64)</formula>
    </cfRule>
    <cfRule type="expression" dxfId="1104" priority="1034">
      <formula>AND($AH$60=$AH$63,$AH$60=$BT$64)</formula>
    </cfRule>
  </conditionalFormatting>
  <conditionalFormatting sqref="W60">
    <cfRule type="containsText" dxfId="1103" priority="1028" operator="containsText" text=":">
      <formula>NOT(ISERROR(SEARCH(":",W60)))</formula>
    </cfRule>
  </conditionalFormatting>
  <conditionalFormatting sqref="K64">
    <cfRule type="containsText" dxfId="1102" priority="1022" operator="containsText" text=":">
      <formula>NOT(ISERROR(SEARCH(":",K64)))</formula>
    </cfRule>
  </conditionalFormatting>
  <conditionalFormatting sqref="V60:X60 J64:L64">
    <cfRule type="expression" dxfId="1101" priority="1023">
      <formula>AND($AH$60=$AH$64,$AH$60=$BX$64)</formula>
    </cfRule>
    <cfRule type="expression" dxfId="1100" priority="1024">
      <formula>AND($AH$60=$AH$64,$AH$60=$BW$64)</formula>
    </cfRule>
    <cfRule type="expression" dxfId="1099" priority="1025">
      <formula>AND($AH$60=$AH$64,$AH$60=$BV$64)</formula>
    </cfRule>
    <cfRule type="expression" dxfId="1098" priority="1026">
      <formula>AND($AH$60=$AH$64,$AH$60=$BU$64)</formula>
    </cfRule>
    <cfRule type="expression" dxfId="1097" priority="1027">
      <formula>AND($AH$60=$AH$64,$AH$60=$BT$64)</formula>
    </cfRule>
  </conditionalFormatting>
  <conditionalFormatting sqref="Z60">
    <cfRule type="containsText" dxfId="1096" priority="1021" operator="containsText" text=":">
      <formula>NOT(ISERROR(SEARCH(":",Z60)))</formula>
    </cfRule>
  </conditionalFormatting>
  <conditionalFormatting sqref="K65">
    <cfRule type="containsText" dxfId="1095" priority="1015" operator="containsText" text=":">
      <formula>NOT(ISERROR(SEARCH(":",K65)))</formula>
    </cfRule>
  </conditionalFormatting>
  <conditionalFormatting sqref="Y60:AA60 J65:L65">
    <cfRule type="expression" dxfId="1094" priority="1016">
      <formula>AND($AH$60=$AH$65,$AH$60=$BX$64)</formula>
    </cfRule>
    <cfRule type="expression" dxfId="1093" priority="1017">
      <formula>AND($AH$60=$AH$65,$AH$60=$BW$64)</formula>
    </cfRule>
    <cfRule type="expression" dxfId="1092" priority="1018">
      <formula>AND($AH$60=$AH$65,$AH$60=$BV$64)</formula>
    </cfRule>
    <cfRule type="expression" dxfId="1091" priority="1019">
      <formula>AND($AH$60=$AH$65,$AH$60=$BU$64)</formula>
    </cfRule>
    <cfRule type="expression" dxfId="1090" priority="1020">
      <formula>AND($AH$60=$AH$65,$AH$60=$BT$64)</formula>
    </cfRule>
  </conditionalFormatting>
  <conditionalFormatting sqref="AC60">
    <cfRule type="containsText" dxfId="1089" priority="1014" operator="containsText" text=":">
      <formula>NOT(ISERROR(SEARCH(":",AC60)))</formula>
    </cfRule>
  </conditionalFormatting>
  <conditionalFormatting sqref="K66">
    <cfRule type="containsText" dxfId="1088" priority="1008" operator="containsText" text=":">
      <formula>NOT(ISERROR(SEARCH(":",K66)))</formula>
    </cfRule>
  </conditionalFormatting>
  <conditionalFormatting sqref="AB60:AD60 J66:L66">
    <cfRule type="expression" dxfId="1087" priority="1009">
      <formula>AND($AH$60=$AH$66,$AH$60=$BX$64)</formula>
    </cfRule>
    <cfRule type="expression" dxfId="1086" priority="1010">
      <formula>AND($AH$60=$AH$66,$AH$60=$BW$64)</formula>
    </cfRule>
    <cfRule type="expression" dxfId="1085" priority="1011">
      <formula>AND($AH$60=$AH$66,$AH$60=$BV$64)</formula>
    </cfRule>
    <cfRule type="expression" dxfId="1084" priority="1012">
      <formula>AND($AH$60=$AH$66,$AH$60=$BU$64)</formula>
    </cfRule>
    <cfRule type="expression" dxfId="1083" priority="1013">
      <formula>AND($AH$60=$AH$66,$AH$60=$BT$64)</formula>
    </cfRule>
  </conditionalFormatting>
  <conditionalFormatting sqref="Q61">
    <cfRule type="containsText" dxfId="1082" priority="1007" operator="containsText" text=":">
      <formula>NOT(ISERROR(SEARCH(":",Q61)))</formula>
    </cfRule>
  </conditionalFormatting>
  <conditionalFormatting sqref="N62">
    <cfRule type="containsText" dxfId="1081" priority="1001" operator="containsText" text=":">
      <formula>NOT(ISERROR(SEARCH(":",N62)))</formula>
    </cfRule>
  </conditionalFormatting>
  <conditionalFormatting sqref="P61:R61 M62:O62">
    <cfRule type="expression" dxfId="1080" priority="1002">
      <formula>AND($AH$61=$AH$62,$AH$61=$BX$64)</formula>
    </cfRule>
    <cfRule type="expression" dxfId="1079" priority="1003">
      <formula>AND($AH$61=$AH$62,$AH$61=$BW$64)</formula>
    </cfRule>
    <cfRule type="expression" dxfId="1078" priority="1004">
      <formula>AND($AH$61=$AH$62,$AH$61=$BV$64)</formula>
    </cfRule>
    <cfRule type="expression" dxfId="1077" priority="1005">
      <formula>AND($AH$61=$AH$62,$AH$61=$BU$64)</formula>
    </cfRule>
    <cfRule type="expression" dxfId="1076" priority="1006">
      <formula>AND($AH$61=$AH$62,$AH$61=$BT$64)</formula>
    </cfRule>
  </conditionalFormatting>
  <conditionalFormatting sqref="T61">
    <cfRule type="containsText" dxfId="1075" priority="1000" operator="containsText" text=":">
      <formula>NOT(ISERROR(SEARCH(":",T61)))</formula>
    </cfRule>
  </conditionalFormatting>
  <conditionalFormatting sqref="N63">
    <cfRule type="containsText" dxfId="1074" priority="994" operator="containsText" text=":">
      <formula>NOT(ISERROR(SEARCH(":",N63)))</formula>
    </cfRule>
  </conditionalFormatting>
  <conditionalFormatting sqref="S61:U61 M63:O63">
    <cfRule type="expression" dxfId="1073" priority="995">
      <formula>AND($AH$61=$AH$63,$AH$61=$BX$64)</formula>
    </cfRule>
    <cfRule type="expression" dxfId="1072" priority="996">
      <formula>AND($AH$61=$AH$63,$AH$61=$BW$64)</formula>
    </cfRule>
    <cfRule type="expression" dxfId="1071" priority="997">
      <formula>AND($AH$61=$AH$63,$AH$61=$BV$64)</formula>
    </cfRule>
    <cfRule type="expression" dxfId="1070" priority="998">
      <formula>AND($AH$61=$AH$63,$AH$61=$BU$64)</formula>
    </cfRule>
    <cfRule type="expression" dxfId="1069" priority="999">
      <formula>AND($AH$61=$AH$63,$AH$61=$BT$64)</formula>
    </cfRule>
  </conditionalFormatting>
  <conditionalFormatting sqref="W61">
    <cfRule type="containsText" dxfId="1068" priority="993" operator="containsText" text=":">
      <formula>NOT(ISERROR(SEARCH(":",W61)))</formula>
    </cfRule>
  </conditionalFormatting>
  <conditionalFormatting sqref="N64">
    <cfRule type="containsText" dxfId="1067" priority="987" operator="containsText" text=":">
      <formula>NOT(ISERROR(SEARCH(":",N64)))</formula>
    </cfRule>
  </conditionalFormatting>
  <conditionalFormatting sqref="V61:X61 M64:O64">
    <cfRule type="expression" dxfId="1066" priority="988">
      <formula>AND($AH$61=$AH$64,$AH$61=$BX$64)</formula>
    </cfRule>
    <cfRule type="expression" dxfId="1065" priority="989">
      <formula>AND($AH$61=$AH$64,$AH$61=$BW$64)</formula>
    </cfRule>
    <cfRule type="expression" dxfId="1064" priority="990">
      <formula>AND($AH$61=$AH$64,$AH$61=$BV$64)</formula>
    </cfRule>
    <cfRule type="expression" dxfId="1063" priority="991">
      <formula>AND($AH$61=$AH$64,$AH$61=$BU$64)</formula>
    </cfRule>
    <cfRule type="expression" dxfId="1062" priority="992">
      <formula>AND($AH$61=$AH$64,$AH$61=$BT$64)</formula>
    </cfRule>
  </conditionalFormatting>
  <conditionalFormatting sqref="Z61">
    <cfRule type="containsText" dxfId="1061" priority="986" operator="containsText" text=":">
      <formula>NOT(ISERROR(SEARCH(":",Z61)))</formula>
    </cfRule>
  </conditionalFormatting>
  <conditionalFormatting sqref="N65">
    <cfRule type="containsText" dxfId="1060" priority="980" operator="containsText" text=":">
      <formula>NOT(ISERROR(SEARCH(":",N65)))</formula>
    </cfRule>
  </conditionalFormatting>
  <conditionalFormatting sqref="Y61:AA61 M65:O65">
    <cfRule type="expression" dxfId="1059" priority="981">
      <formula>AND($AH$61=$AH$65,$AH$61=$BX$64)</formula>
    </cfRule>
    <cfRule type="expression" dxfId="1058" priority="982">
      <formula>AND($AH$61=$AH$65,$AH$61=$BW$64)</formula>
    </cfRule>
    <cfRule type="expression" dxfId="1057" priority="983">
      <formula>AND($AH$61=$AH$65,$AH$61=$BV$64)</formula>
    </cfRule>
    <cfRule type="expression" dxfId="1056" priority="984">
      <formula>AND($AH$61=$AH$65,$AH$61=$BU$64)</formula>
    </cfRule>
    <cfRule type="expression" dxfId="1055" priority="985">
      <formula>AND($AH$61=$AH$65,$AH$61=$BT$64)</formula>
    </cfRule>
  </conditionalFormatting>
  <conditionalFormatting sqref="AC61">
    <cfRule type="containsText" dxfId="1054" priority="979" operator="containsText" text=":">
      <formula>NOT(ISERROR(SEARCH(":",AC61)))</formula>
    </cfRule>
  </conditionalFormatting>
  <conditionalFormatting sqref="N66">
    <cfRule type="containsText" dxfId="1053" priority="973" operator="containsText" text=":">
      <formula>NOT(ISERROR(SEARCH(":",N66)))</formula>
    </cfRule>
  </conditionalFormatting>
  <conditionalFormatting sqref="AB61:AD61 M66:O66">
    <cfRule type="expression" dxfId="1052" priority="974">
      <formula>AND($AH$61=$AH$66,$AH$61=$BX$64)</formula>
    </cfRule>
    <cfRule type="expression" dxfId="1051" priority="975">
      <formula>AND($AH$61=$AH$66,$AH$61=$BW$64)</formula>
    </cfRule>
    <cfRule type="expression" dxfId="1050" priority="976">
      <formula>AND($AH$61=$AH$66,$AH$61=$BV$64)</formula>
    </cfRule>
    <cfRule type="expression" dxfId="1049" priority="977">
      <formula>AND($AH$61=$AH$66,$AH$61=$BU$64)</formula>
    </cfRule>
    <cfRule type="expression" dxfId="1048" priority="978">
      <formula>AND($AH$61=$AH$66,$AH$61=$BT$64)</formula>
    </cfRule>
  </conditionalFormatting>
  <conditionalFormatting sqref="T62">
    <cfRule type="containsText" dxfId="1047" priority="972" operator="containsText" text=":">
      <formula>NOT(ISERROR(SEARCH(":",T62)))</formula>
    </cfRule>
  </conditionalFormatting>
  <conditionalFormatting sqref="Q63">
    <cfRule type="containsText" dxfId="1046" priority="966" operator="containsText" text=":">
      <formula>NOT(ISERROR(SEARCH(":",Q63)))</formula>
    </cfRule>
  </conditionalFormatting>
  <conditionalFormatting sqref="S62:U62 P63:R63">
    <cfRule type="expression" dxfId="1045" priority="967">
      <formula>AND($AH$62=$AH$63,$AH$62=$BX$64)</formula>
    </cfRule>
    <cfRule type="expression" dxfId="1044" priority="968">
      <formula>AND($AH$62=$AH$63,$AH$62=$BW$64)</formula>
    </cfRule>
    <cfRule type="expression" dxfId="1043" priority="969">
      <formula>AND($AH$62=$AH$63,$AH$62=$BV$64)</formula>
    </cfRule>
    <cfRule type="expression" dxfId="1042" priority="970">
      <formula>AND($AH$62=$AH$63,$AH$62=$BU$64)</formula>
    </cfRule>
    <cfRule type="expression" dxfId="1041" priority="971">
      <formula>AND($AH$62=$AH$63,$AH$62=$BT$64)</formula>
    </cfRule>
  </conditionalFormatting>
  <conditionalFormatting sqref="W62">
    <cfRule type="containsText" dxfId="1040" priority="965" operator="containsText" text=":">
      <formula>NOT(ISERROR(SEARCH(":",W62)))</formula>
    </cfRule>
  </conditionalFormatting>
  <conditionalFormatting sqref="Q64">
    <cfRule type="containsText" dxfId="1039" priority="959" operator="containsText" text=":">
      <formula>NOT(ISERROR(SEARCH(":",Q64)))</formula>
    </cfRule>
  </conditionalFormatting>
  <conditionalFormatting sqref="V62:X62 P64:R64">
    <cfRule type="expression" dxfId="1038" priority="960">
      <formula>AND($AH$62=$AH$64,$AH$62=$BX$64)</formula>
    </cfRule>
    <cfRule type="expression" dxfId="1037" priority="961">
      <formula>AND($AH$62=$AH$64,$AH$62=$BW$64)</formula>
    </cfRule>
    <cfRule type="expression" dxfId="1036" priority="962">
      <formula>AND($AH$62=$AH$64,$AH$62=$BV$64)</formula>
    </cfRule>
    <cfRule type="expression" dxfId="1035" priority="963">
      <formula>AND($AH$62=$AH$64,$AH$62=$BU$64)</formula>
    </cfRule>
    <cfRule type="expression" dxfId="1034" priority="964">
      <formula>AND($AH$62=$AH$64,$AH$62=$BT$64)</formula>
    </cfRule>
  </conditionalFormatting>
  <conditionalFormatting sqref="Z62">
    <cfRule type="containsText" dxfId="1033" priority="958" operator="containsText" text=":">
      <formula>NOT(ISERROR(SEARCH(":",Z62)))</formula>
    </cfRule>
  </conditionalFormatting>
  <conditionalFormatting sqref="Q65">
    <cfRule type="containsText" dxfId="1032" priority="952" operator="containsText" text=":">
      <formula>NOT(ISERROR(SEARCH(":",Q65)))</formula>
    </cfRule>
  </conditionalFormatting>
  <conditionalFormatting sqref="Y62:AA62 P65:R65">
    <cfRule type="expression" dxfId="1031" priority="953">
      <formula>AND($AH$62=$AH$65,$AH$62=$BX$64)</formula>
    </cfRule>
    <cfRule type="expression" dxfId="1030" priority="954">
      <formula>AND($AH$62=$AH$65,$AH$62=$BW$64)</formula>
    </cfRule>
    <cfRule type="expression" dxfId="1029" priority="955">
      <formula>AND($AH$62=$AH$65,$AH$62=$BV$64)</formula>
    </cfRule>
    <cfRule type="expression" dxfId="1028" priority="956">
      <formula>AND($AH$62=$AH$65,$AH$62=$BU$64)</formula>
    </cfRule>
    <cfRule type="expression" dxfId="1027" priority="957">
      <formula>AND($AH$62=$AH$65,$AH$62=$BT$64)</formula>
    </cfRule>
  </conditionalFormatting>
  <conditionalFormatting sqref="AC62">
    <cfRule type="containsText" dxfId="1026" priority="951" operator="containsText" text=":">
      <formula>NOT(ISERROR(SEARCH(":",AC62)))</formula>
    </cfRule>
  </conditionalFormatting>
  <conditionalFormatting sqref="Q66">
    <cfRule type="containsText" dxfId="1025" priority="945" operator="containsText" text=":">
      <formula>NOT(ISERROR(SEARCH(":",Q66)))</formula>
    </cfRule>
  </conditionalFormatting>
  <conditionalFormatting sqref="AB62:AD62 P66:R66">
    <cfRule type="expression" dxfId="1024" priority="946">
      <formula>AND($AH$62=$AH$66,$AH$62=$BX$64)</formula>
    </cfRule>
    <cfRule type="expression" dxfId="1023" priority="947">
      <formula>AND($AH$62=$AH$66,$AH$62=$BW$64)</formula>
    </cfRule>
    <cfRule type="expression" dxfId="1022" priority="948">
      <formula>AND($AH$62=$AH$66,$AH$62=$BV$64)</formula>
    </cfRule>
    <cfRule type="expression" dxfId="1021" priority="949">
      <formula>AND($AH$62=$AH$66,$AH$62=$BU$64)</formula>
    </cfRule>
    <cfRule type="expression" dxfId="1020" priority="950">
      <formula>AND($AH$62=$AH$66,$AH$62=$BT$64)</formula>
    </cfRule>
  </conditionalFormatting>
  <conditionalFormatting sqref="W63">
    <cfRule type="containsText" dxfId="1019" priority="944" operator="containsText" text=":">
      <formula>NOT(ISERROR(SEARCH(":",W63)))</formula>
    </cfRule>
  </conditionalFormatting>
  <conditionalFormatting sqref="T64">
    <cfRule type="containsText" dxfId="1018" priority="938" operator="containsText" text=":">
      <formula>NOT(ISERROR(SEARCH(":",T64)))</formula>
    </cfRule>
  </conditionalFormatting>
  <conditionalFormatting sqref="V63:X63 S64:U64">
    <cfRule type="expression" dxfId="1017" priority="939">
      <formula>AND($AH$63=$AH$64,$AH$63=$BX$64)</formula>
    </cfRule>
    <cfRule type="expression" dxfId="1016" priority="940">
      <formula>AND($AH$63=$AH$64,$AH$63=$BW$64)</formula>
    </cfRule>
    <cfRule type="expression" dxfId="1015" priority="941">
      <formula>AND($AH$63=$AH$64,$AH$63=$BV$64)</formula>
    </cfRule>
    <cfRule type="expression" dxfId="1014" priority="942">
      <formula>AND($AH$63=$AH$64,$AH$63=$BU$64)</formula>
    </cfRule>
    <cfRule type="expression" dxfId="1013" priority="943">
      <formula>AND($AH$63=$AH$64,$AH$63=$BT$64)</formula>
    </cfRule>
  </conditionalFormatting>
  <conditionalFormatting sqref="Z63">
    <cfRule type="containsText" dxfId="1012" priority="937" operator="containsText" text=":">
      <formula>NOT(ISERROR(SEARCH(":",Z63)))</formula>
    </cfRule>
  </conditionalFormatting>
  <conditionalFormatting sqref="T65">
    <cfRule type="containsText" dxfId="1011" priority="931" operator="containsText" text=":">
      <formula>NOT(ISERROR(SEARCH(":",T65)))</formula>
    </cfRule>
  </conditionalFormatting>
  <conditionalFormatting sqref="Y63:AA63 S65:U65">
    <cfRule type="expression" dxfId="1010" priority="932">
      <formula>AND($AH$63=$AH$65,$AH$63=$BX$64)</formula>
    </cfRule>
    <cfRule type="expression" dxfId="1009" priority="933">
      <formula>AND($AH$63=$AH$65,$AH$63=$BW$64)</formula>
    </cfRule>
    <cfRule type="expression" dxfId="1008" priority="934">
      <formula>AND($AH$63=$AH$65,$AH$63=$BV$64)</formula>
    </cfRule>
    <cfRule type="expression" dxfId="1007" priority="935">
      <formula>AND($AH$63=$AH$65,$AH$63=$BU$64)</formula>
    </cfRule>
    <cfRule type="expression" dxfId="1006" priority="936">
      <formula>AND($AH$63=$AH$65,$AH$63=$BT$64)</formula>
    </cfRule>
  </conditionalFormatting>
  <conditionalFormatting sqref="AC63">
    <cfRule type="containsText" dxfId="1005" priority="930" operator="containsText" text=":">
      <formula>NOT(ISERROR(SEARCH(":",AC63)))</formula>
    </cfRule>
  </conditionalFormatting>
  <conditionalFormatting sqref="T66">
    <cfRule type="containsText" dxfId="1004" priority="924" operator="containsText" text=":">
      <formula>NOT(ISERROR(SEARCH(":",T66)))</formula>
    </cfRule>
  </conditionalFormatting>
  <conditionalFormatting sqref="AB63:AD63 S66:U66">
    <cfRule type="expression" dxfId="1003" priority="925">
      <formula>AND($AH$63=$AH$66,$AH$63=$BX$64)</formula>
    </cfRule>
    <cfRule type="expression" dxfId="1002" priority="926">
      <formula>AND($AH$63=$AH$66,$AH$63=$BW$64)</formula>
    </cfRule>
    <cfRule type="expression" dxfId="1001" priority="927">
      <formula>AND($AH$63=$AH$66,$AH$63=$BV$64)</formula>
    </cfRule>
    <cfRule type="expression" dxfId="1000" priority="928">
      <formula>AND($AH$63=$AH$66,$AH$63=$BU$64)</formula>
    </cfRule>
    <cfRule type="expression" dxfId="999" priority="929">
      <formula>AND($AH$63=$AH$66,$AH$63=$BT$64)</formula>
    </cfRule>
  </conditionalFormatting>
  <conditionalFormatting sqref="Z64">
    <cfRule type="containsText" dxfId="998" priority="923" operator="containsText" text=":">
      <formula>NOT(ISERROR(SEARCH(":",Z64)))</formula>
    </cfRule>
  </conditionalFormatting>
  <conditionalFormatting sqref="W65">
    <cfRule type="containsText" dxfId="997" priority="917" operator="containsText" text=":">
      <formula>NOT(ISERROR(SEARCH(":",W65)))</formula>
    </cfRule>
  </conditionalFormatting>
  <conditionalFormatting sqref="Y64:AA64 V65:X65">
    <cfRule type="expression" dxfId="996" priority="918">
      <formula>AND($AH$64=$AH$65,$AH$64=$BX$64)</formula>
    </cfRule>
    <cfRule type="expression" dxfId="995" priority="919">
      <formula>AND($AH$64=$AH$65,$AH$64=$BW$64)</formula>
    </cfRule>
    <cfRule type="expression" dxfId="994" priority="920">
      <formula>AND($AH$64=$AH$65,$AH$64=$BV$64)</formula>
    </cfRule>
    <cfRule type="expression" dxfId="993" priority="921">
      <formula>AND($AH$64=$AH$65,$AH$64=$BU$64)</formula>
    </cfRule>
    <cfRule type="expression" dxfId="992" priority="922">
      <formula>AND($AH$64=$AH$65,$AH$64=$BT$64)</formula>
    </cfRule>
  </conditionalFormatting>
  <conditionalFormatting sqref="AC64">
    <cfRule type="containsText" dxfId="991" priority="916" operator="containsText" text=":">
      <formula>NOT(ISERROR(SEARCH(":",AC64)))</formula>
    </cfRule>
  </conditionalFormatting>
  <conditionalFormatting sqref="W66">
    <cfRule type="containsText" dxfId="990" priority="910" operator="containsText" text=":">
      <formula>NOT(ISERROR(SEARCH(":",W66)))</formula>
    </cfRule>
  </conditionalFormatting>
  <conditionalFormatting sqref="AB64:AD64 V66:X66">
    <cfRule type="expression" dxfId="989" priority="911">
      <formula>AND($AH$64=$AH$66,$AH$64=$BX$64)</formula>
    </cfRule>
    <cfRule type="expression" dxfId="988" priority="912">
      <formula>AND($AH$64=$AH$66,$AH$64=$BW$64)</formula>
    </cfRule>
    <cfRule type="expression" dxfId="987" priority="913">
      <formula>AND($AH$64=$AH$66,$AH$64=$BV$64)</formula>
    </cfRule>
    <cfRule type="expression" dxfId="986" priority="914">
      <formula>AND($AH$64=$AH$66,$AH$64=$BU$64)</formula>
    </cfRule>
    <cfRule type="expression" dxfId="985" priority="915">
      <formula>AND($AH$64=$AH$66,$AH$64=$BT$64)</formula>
    </cfRule>
  </conditionalFormatting>
  <conditionalFormatting sqref="AC65">
    <cfRule type="containsText" dxfId="984" priority="909" operator="containsText" text=":">
      <formula>NOT(ISERROR(SEARCH(":",AC65)))</formula>
    </cfRule>
  </conditionalFormatting>
  <conditionalFormatting sqref="Z66">
    <cfRule type="containsText" dxfId="983" priority="903" operator="containsText" text=":">
      <formula>NOT(ISERROR(SEARCH(":",Z66)))</formula>
    </cfRule>
  </conditionalFormatting>
  <conditionalFormatting sqref="AB65:AD65 Y66:AA66">
    <cfRule type="expression" dxfId="982" priority="904">
      <formula>AND($AH$65=$AH$66,$AH$65=$BX$64)</formula>
    </cfRule>
    <cfRule type="expression" dxfId="981" priority="905">
      <formula>AND($AH$65=$AH$66,$AH$65=$BW$64)</formula>
    </cfRule>
    <cfRule type="expression" dxfId="980" priority="906">
      <formula>AND($AH$65=$AH$66,$AH$65=$BV$64)</formula>
    </cfRule>
    <cfRule type="expression" dxfId="979" priority="907">
      <formula>AND($AH$65=$AH$66,$AH$65=$BU$64)</formula>
    </cfRule>
    <cfRule type="expression" dxfId="978" priority="908">
      <formula>AND($AH$65=$AH$66,$AH$65=$BT$64)</formula>
    </cfRule>
  </conditionalFormatting>
  <conditionalFormatting sqref="N71">
    <cfRule type="containsText" dxfId="977" priority="902" operator="containsText" text=":">
      <formula>NOT(ISERROR(SEARCH(":",N71)))</formula>
    </cfRule>
  </conditionalFormatting>
  <conditionalFormatting sqref="Q71">
    <cfRule type="containsText" dxfId="976" priority="901" operator="containsText" text=":">
      <formula>NOT(ISERROR(SEARCH(":",Q71)))</formula>
    </cfRule>
  </conditionalFormatting>
  <conditionalFormatting sqref="M71:O71 J72:L72">
    <cfRule type="expression" dxfId="975" priority="896">
      <formula>AND($AH$71=$AH$72,$AH$71=$BX$75)</formula>
    </cfRule>
    <cfRule type="expression" dxfId="974" priority="897">
      <formula>AND($AH$71=$AH$72,$AH$71=$BW$75)</formula>
    </cfRule>
    <cfRule type="expression" dxfId="973" priority="898">
      <formula>AND($AH$71=$AH$72,$AH$71=$BV$75)</formula>
    </cfRule>
    <cfRule type="expression" dxfId="972" priority="899">
      <formula>AND($AH$71=$AH$72,$AH$71=$BU$75)</formula>
    </cfRule>
    <cfRule type="expression" dxfId="971" priority="900">
      <formula>AND($AH$71=$AH$72,$AH$71=$BT$75)</formula>
    </cfRule>
  </conditionalFormatting>
  <conditionalFormatting sqref="P71:R71 J73:L73">
    <cfRule type="expression" dxfId="970" priority="891">
      <formula>AND($AH$71=$AH$73,$AH$71=$BX$75)</formula>
    </cfRule>
    <cfRule type="expression" dxfId="969" priority="892">
      <formula>AND($AH$71=$AH$73,$AH$71=$BW$75)</formula>
    </cfRule>
    <cfRule type="expression" dxfId="968" priority="893">
      <formula>AND($AH$71=$AH$73,$AH$71=$BV$75)</formula>
    </cfRule>
    <cfRule type="expression" dxfId="967" priority="894">
      <formula>AND($AH$71=$AH$73,$AH$71=$BU$75)</formula>
    </cfRule>
    <cfRule type="expression" dxfId="966" priority="895">
      <formula>AND($AH$71=$AH$73,$AH$71=$BT$75)</formula>
    </cfRule>
  </conditionalFormatting>
  <conditionalFormatting sqref="T71">
    <cfRule type="containsText" dxfId="965" priority="890" operator="containsText" text=":">
      <formula>NOT(ISERROR(SEARCH(":",T71)))</formula>
    </cfRule>
  </conditionalFormatting>
  <conditionalFormatting sqref="K74">
    <cfRule type="containsText" dxfId="964" priority="884" operator="containsText" text=":">
      <formula>NOT(ISERROR(SEARCH(":",K74)))</formula>
    </cfRule>
  </conditionalFormatting>
  <conditionalFormatting sqref="S71:U71 J74:L74">
    <cfRule type="expression" dxfId="963" priority="885">
      <formula>AND($AH$71=$AH$74,$AH$71=$BX$75)</formula>
    </cfRule>
    <cfRule type="expression" dxfId="962" priority="886">
      <formula>AND($AH$71=$AH$74,$AH$71=$BW$75)</formula>
    </cfRule>
    <cfRule type="expression" dxfId="961" priority="887">
      <formula>AND($AH$71=$AH$74,$AH$71=$BV$75)</formula>
    </cfRule>
    <cfRule type="expression" dxfId="960" priority="888">
      <formula>AND($AH$71=$AH$74,$AH$71=$BU$75)</formula>
    </cfRule>
    <cfRule type="expression" dxfId="959" priority="889">
      <formula>AND($AH$71=$AH$74,$AH$71=$BT$75)</formula>
    </cfRule>
  </conditionalFormatting>
  <conditionalFormatting sqref="W71">
    <cfRule type="containsText" dxfId="958" priority="883" operator="containsText" text=":">
      <formula>NOT(ISERROR(SEARCH(":",W71)))</formula>
    </cfRule>
  </conditionalFormatting>
  <conditionalFormatting sqref="K75">
    <cfRule type="containsText" dxfId="957" priority="877" operator="containsText" text=":">
      <formula>NOT(ISERROR(SEARCH(":",K75)))</formula>
    </cfRule>
  </conditionalFormatting>
  <conditionalFormatting sqref="V71:X71 J75:L75">
    <cfRule type="expression" dxfId="956" priority="878">
      <formula>AND($AH$71=$AH$75,$AH$71=$BX$75)</formula>
    </cfRule>
    <cfRule type="expression" dxfId="955" priority="879">
      <formula>AND($AH$71=$AH$75,$AH$71=$BW$75)</formula>
    </cfRule>
    <cfRule type="expression" dxfId="954" priority="880">
      <formula>AND($AH$71=$AH$75,$AH$71=$BV$75)</formula>
    </cfRule>
    <cfRule type="expression" dxfId="953" priority="881">
      <formula>AND($AH$71=$AH$75,$AH$71=$BU$75)</formula>
    </cfRule>
    <cfRule type="expression" dxfId="952" priority="882">
      <formula>AND($AH$71=$AH$75,$AH$71=$BT$75)</formula>
    </cfRule>
  </conditionalFormatting>
  <conditionalFormatting sqref="Z71">
    <cfRule type="containsText" dxfId="951" priority="876" operator="containsText" text=":">
      <formula>NOT(ISERROR(SEARCH(":",Z71)))</formula>
    </cfRule>
  </conditionalFormatting>
  <conditionalFormatting sqref="K76">
    <cfRule type="containsText" dxfId="950" priority="870" operator="containsText" text=":">
      <formula>NOT(ISERROR(SEARCH(":",K76)))</formula>
    </cfRule>
  </conditionalFormatting>
  <conditionalFormatting sqref="Y71:AA71 J76:L76">
    <cfRule type="expression" dxfId="949" priority="871">
      <formula>AND($AH$71=$AH$76,$AH$71=$BX$75)</formula>
    </cfRule>
    <cfRule type="expression" dxfId="948" priority="872">
      <formula>AND($AH$71=$AH$76,$AH$71=$BW$75)</formula>
    </cfRule>
    <cfRule type="expression" dxfId="947" priority="873">
      <formula>AND($AH$71=$AH$76,$AH$71=$BV$75)</formula>
    </cfRule>
    <cfRule type="expression" dxfId="946" priority="874">
      <formula>AND($AH$71=$AH$76,$AH$71=$BU$75)</formula>
    </cfRule>
    <cfRule type="expression" dxfId="945" priority="875">
      <formula>AND($AH$71=$AH$76,$AH$71=$BT$75)</formula>
    </cfRule>
  </conditionalFormatting>
  <conditionalFormatting sqref="AC71">
    <cfRule type="containsText" dxfId="944" priority="869" operator="containsText" text=":">
      <formula>NOT(ISERROR(SEARCH(":",AC71)))</formula>
    </cfRule>
  </conditionalFormatting>
  <conditionalFormatting sqref="K77">
    <cfRule type="containsText" dxfId="943" priority="863" operator="containsText" text=":">
      <formula>NOT(ISERROR(SEARCH(":",K77)))</formula>
    </cfRule>
  </conditionalFormatting>
  <conditionalFormatting sqref="AB71:AD71 J77:L77">
    <cfRule type="expression" dxfId="942" priority="864">
      <formula>AND($AH$71=$AH$77,$AH$71=$BX$75)</formula>
    </cfRule>
    <cfRule type="expression" dxfId="941" priority="865">
      <formula>AND($AH$71=$AH$77,$AH$71=$BW$75)</formula>
    </cfRule>
    <cfRule type="expression" dxfId="940" priority="866">
      <formula>AND($AH$71=$AH$77,$AH$71=$BV$75)</formula>
    </cfRule>
    <cfRule type="expression" dxfId="939" priority="867">
      <formula>AND($AH$71=$AH$77,$AH$71=$BU$75)</formula>
    </cfRule>
    <cfRule type="expression" dxfId="938" priority="868">
      <formula>AND($AH$71=$AH$77,$AH$71=$BT$75)</formula>
    </cfRule>
  </conditionalFormatting>
  <conditionalFormatting sqref="Q72">
    <cfRule type="containsText" dxfId="937" priority="862" operator="containsText" text=":">
      <formula>NOT(ISERROR(SEARCH(":",Q72)))</formula>
    </cfRule>
  </conditionalFormatting>
  <conditionalFormatting sqref="N73">
    <cfRule type="containsText" dxfId="936" priority="856" operator="containsText" text=":">
      <formula>NOT(ISERROR(SEARCH(":",N73)))</formula>
    </cfRule>
  </conditionalFormatting>
  <conditionalFormatting sqref="P72:R72 M73:O73">
    <cfRule type="expression" dxfId="935" priority="857">
      <formula>AND($AH$72=$AH$73,$AH$72=$BX$75)</formula>
    </cfRule>
    <cfRule type="expression" dxfId="934" priority="858">
      <formula>AND($AH$72=$AH$73,$AH$72=$BW$75)</formula>
    </cfRule>
    <cfRule type="expression" dxfId="933" priority="859">
      <formula>AND($AH$72=$AH$73,$AH$72=$BV$75)</formula>
    </cfRule>
    <cfRule type="expression" dxfId="932" priority="860">
      <formula>AND($AH$72=$AH$73,$AH$72=$BU$75)</formula>
    </cfRule>
    <cfRule type="expression" dxfId="931" priority="861">
      <formula>AND($AH$72=$AH$73,$AH$72=$BT$75)</formula>
    </cfRule>
  </conditionalFormatting>
  <conditionalFormatting sqref="T72">
    <cfRule type="containsText" dxfId="930" priority="855" operator="containsText" text=":">
      <formula>NOT(ISERROR(SEARCH(":",T72)))</formula>
    </cfRule>
  </conditionalFormatting>
  <conditionalFormatting sqref="N74">
    <cfRule type="containsText" dxfId="929" priority="849" operator="containsText" text=":">
      <formula>NOT(ISERROR(SEARCH(":",N74)))</formula>
    </cfRule>
  </conditionalFormatting>
  <conditionalFormatting sqref="S72:U72 M74:O74">
    <cfRule type="expression" dxfId="928" priority="850">
      <formula>AND($AH$72=$AH$74,$AH$72=$BX$75)</formula>
    </cfRule>
    <cfRule type="expression" dxfId="927" priority="851">
      <formula>AND($AH$72=$AH$74,$AH$72=$BW$75)</formula>
    </cfRule>
    <cfRule type="expression" dxfId="926" priority="852">
      <formula>AND($AH$72=$AH$74,$AH$72=$BV$75)</formula>
    </cfRule>
    <cfRule type="expression" dxfId="925" priority="853">
      <formula>AND($AH$72=$AH$74,$AH$72=$BU$75)</formula>
    </cfRule>
    <cfRule type="expression" dxfId="924" priority="854">
      <formula>AND($AH$72=$AH$74,$AH$72=$BT$75)</formula>
    </cfRule>
  </conditionalFormatting>
  <conditionalFormatting sqref="W72">
    <cfRule type="containsText" dxfId="923" priority="848" operator="containsText" text=":">
      <formula>NOT(ISERROR(SEARCH(":",W72)))</formula>
    </cfRule>
  </conditionalFormatting>
  <conditionalFormatting sqref="N75">
    <cfRule type="containsText" dxfId="922" priority="842" operator="containsText" text=":">
      <formula>NOT(ISERROR(SEARCH(":",N75)))</formula>
    </cfRule>
  </conditionalFormatting>
  <conditionalFormatting sqref="V72:X72 M75:O75">
    <cfRule type="expression" dxfId="921" priority="843">
      <formula>AND($AH$72=$AH$75,$AH$72=$BX$75)</formula>
    </cfRule>
    <cfRule type="expression" dxfId="920" priority="844">
      <formula>AND($AH$72=$AH$75,$AH$72=$BW$75)</formula>
    </cfRule>
    <cfRule type="expression" dxfId="919" priority="845">
      <formula>AND($AH$72=$AH$75,$AH$72=$BV$75)</formula>
    </cfRule>
    <cfRule type="expression" dxfId="918" priority="846">
      <formula>AND($AH$72=$AH$75,$AH$72=$BU$75)</formula>
    </cfRule>
    <cfRule type="expression" dxfId="917" priority="847">
      <formula>AND($AH$72=$AH$75,$AH$72=$BT$75)</formula>
    </cfRule>
  </conditionalFormatting>
  <conditionalFormatting sqref="Z72">
    <cfRule type="containsText" dxfId="916" priority="841" operator="containsText" text=":">
      <formula>NOT(ISERROR(SEARCH(":",Z72)))</formula>
    </cfRule>
  </conditionalFormatting>
  <conditionalFormatting sqref="N76">
    <cfRule type="containsText" dxfId="915" priority="835" operator="containsText" text=":">
      <formula>NOT(ISERROR(SEARCH(":",N76)))</formula>
    </cfRule>
  </conditionalFormatting>
  <conditionalFormatting sqref="Y72:AA72 M76:O76">
    <cfRule type="expression" dxfId="914" priority="836">
      <formula>AND($AH$72=$AH$76,$AH$72=$BX$75)</formula>
    </cfRule>
    <cfRule type="expression" dxfId="913" priority="837">
      <formula>AND($AH$72=$AH$76,$AH$72=$BW$75)</formula>
    </cfRule>
    <cfRule type="expression" dxfId="912" priority="838">
      <formula>AND($AH$72=$AH$76,$AH$72=$BV$75)</formula>
    </cfRule>
    <cfRule type="expression" dxfId="911" priority="839">
      <formula>AND($AH$72=$AH$76,$AH$72=$BU$75)</formula>
    </cfRule>
    <cfRule type="expression" dxfId="910" priority="840">
      <formula>AND($AH$72=$AH$76,$AH$72=$BT$75)</formula>
    </cfRule>
  </conditionalFormatting>
  <conditionalFormatting sqref="AC72">
    <cfRule type="containsText" dxfId="909" priority="834" operator="containsText" text=":">
      <formula>NOT(ISERROR(SEARCH(":",AC72)))</formula>
    </cfRule>
  </conditionalFormatting>
  <conditionalFormatting sqref="N77">
    <cfRule type="containsText" dxfId="908" priority="828" operator="containsText" text=":">
      <formula>NOT(ISERROR(SEARCH(":",N77)))</formula>
    </cfRule>
  </conditionalFormatting>
  <conditionalFormatting sqref="AB72:AD72 M77:O77">
    <cfRule type="expression" dxfId="907" priority="829">
      <formula>AND($AH$72=$AH$77,$AH$72=$BX$75)</formula>
    </cfRule>
    <cfRule type="expression" dxfId="906" priority="830">
      <formula>AND($AH$72=$AH$77,$AH$72=$BW$75)</formula>
    </cfRule>
    <cfRule type="expression" dxfId="905" priority="831">
      <formula>AND($AH$72=$AH$77,$AH$72=$BV$75)</formula>
    </cfRule>
    <cfRule type="expression" dxfId="904" priority="832">
      <formula>AND($AH$72=$AH$77,$AH$72=$BU$75)</formula>
    </cfRule>
    <cfRule type="expression" dxfId="903" priority="833">
      <formula>AND($AH$72=$AH$77,$AH$72=$BT$75)</formula>
    </cfRule>
  </conditionalFormatting>
  <conditionalFormatting sqref="T73">
    <cfRule type="containsText" dxfId="902" priority="827" operator="containsText" text=":">
      <formula>NOT(ISERROR(SEARCH(":",T73)))</formula>
    </cfRule>
  </conditionalFormatting>
  <conditionalFormatting sqref="Q74">
    <cfRule type="containsText" dxfId="901" priority="821" operator="containsText" text=":">
      <formula>NOT(ISERROR(SEARCH(":",Q74)))</formula>
    </cfRule>
  </conditionalFormatting>
  <conditionalFormatting sqref="S73:U73 P74:R74">
    <cfRule type="expression" dxfId="900" priority="822">
      <formula>AND($AH$73=$AH$74,$AH$73=$BX$75)</formula>
    </cfRule>
    <cfRule type="expression" dxfId="899" priority="823">
      <formula>AND($AH$73=$AH$74,$AH$73=$BW$75)</formula>
    </cfRule>
    <cfRule type="expression" dxfId="898" priority="824">
      <formula>AND($AH$73=$AH$74,$AH$73=$BV$75)</formula>
    </cfRule>
    <cfRule type="expression" dxfId="897" priority="825">
      <formula>AND($AH$73=$AH$74,$AH$73=$BU$75)</formula>
    </cfRule>
    <cfRule type="expression" dxfId="896" priority="826">
      <formula>AND($AH$73=$AH$74,$AH$73=$BT$75)</formula>
    </cfRule>
  </conditionalFormatting>
  <conditionalFormatting sqref="W73">
    <cfRule type="containsText" dxfId="895" priority="820" operator="containsText" text=":">
      <formula>NOT(ISERROR(SEARCH(":",W73)))</formula>
    </cfRule>
  </conditionalFormatting>
  <conditionalFormatting sqref="Q75">
    <cfRule type="containsText" dxfId="894" priority="814" operator="containsText" text=":">
      <formula>NOT(ISERROR(SEARCH(":",Q75)))</formula>
    </cfRule>
  </conditionalFormatting>
  <conditionalFormatting sqref="V73:X73 P75:R75">
    <cfRule type="expression" dxfId="893" priority="815">
      <formula>AND($AH$73=$AH$75,$AH$73=$BX$75)</formula>
    </cfRule>
    <cfRule type="expression" dxfId="892" priority="816">
      <formula>AND($AH$73=$AH$75,$AH$73=$BW$75)</formula>
    </cfRule>
    <cfRule type="expression" dxfId="891" priority="817">
      <formula>AND($AH$73=$AH$75,$AH$73=$BV$75)</formula>
    </cfRule>
    <cfRule type="expression" dxfId="890" priority="818">
      <formula>AND($AH$73=$AH$75,$AH$73=$BU$75)</formula>
    </cfRule>
    <cfRule type="expression" dxfId="889" priority="819">
      <formula>AND($AH$73=$AH$75,$AH$73=$BT$75)</formula>
    </cfRule>
  </conditionalFormatting>
  <conditionalFormatting sqref="Z73">
    <cfRule type="containsText" dxfId="888" priority="813" operator="containsText" text=":">
      <formula>NOT(ISERROR(SEARCH(":",Z73)))</formula>
    </cfRule>
  </conditionalFormatting>
  <conditionalFormatting sqref="Q76">
    <cfRule type="containsText" dxfId="887" priority="807" operator="containsText" text=":">
      <formula>NOT(ISERROR(SEARCH(":",Q76)))</formula>
    </cfRule>
  </conditionalFormatting>
  <conditionalFormatting sqref="Y73:AA73 P76:R76">
    <cfRule type="expression" dxfId="886" priority="808">
      <formula>AND($AH$73=$AH$76,$AH$73=$BX$75)</formula>
    </cfRule>
    <cfRule type="expression" dxfId="885" priority="809">
      <formula>AND($AH$73=$AH$76,$AH$73=$BW$75)</formula>
    </cfRule>
    <cfRule type="expression" dxfId="884" priority="810">
      <formula>AND($AH$73=$AH$76,$AH$73=$BV$75)</formula>
    </cfRule>
    <cfRule type="expression" dxfId="883" priority="811">
      <formula>AND($AH$73=$AH$76,$AH$73=$BU$75)</formula>
    </cfRule>
    <cfRule type="expression" dxfId="882" priority="812">
      <formula>AND($AH$73=$AH$76,$AH$73=$BT$75)</formula>
    </cfRule>
  </conditionalFormatting>
  <conditionalFormatting sqref="AC73">
    <cfRule type="containsText" dxfId="881" priority="806" operator="containsText" text=":">
      <formula>NOT(ISERROR(SEARCH(":",AC73)))</formula>
    </cfRule>
  </conditionalFormatting>
  <conditionalFormatting sqref="Q77">
    <cfRule type="containsText" dxfId="880" priority="800" operator="containsText" text=":">
      <formula>NOT(ISERROR(SEARCH(":",Q77)))</formula>
    </cfRule>
  </conditionalFormatting>
  <conditionalFormatting sqref="AB73:AD73 P77:R77">
    <cfRule type="expression" dxfId="879" priority="801">
      <formula>AND($AH$73=$AH$77,$AH$73=$BX$75)</formula>
    </cfRule>
    <cfRule type="expression" dxfId="878" priority="802">
      <formula>AND($AH$73=$AH$77,$AH$73=$BW$75)</formula>
    </cfRule>
    <cfRule type="expression" dxfId="877" priority="803">
      <formula>AND($AH$73=$AH$77,$AH$73=$BV$75)</formula>
    </cfRule>
    <cfRule type="expression" dxfId="876" priority="804">
      <formula>AND($AH$73=$AH$77,$AH$73=$BU$75)</formula>
    </cfRule>
    <cfRule type="expression" dxfId="875" priority="805">
      <formula>AND($AH$73=$AH$77,$AH$73=$BT$75)</formula>
    </cfRule>
  </conditionalFormatting>
  <conditionalFormatting sqref="W74">
    <cfRule type="containsText" dxfId="874" priority="799" operator="containsText" text=":">
      <formula>NOT(ISERROR(SEARCH(":",W74)))</formula>
    </cfRule>
  </conditionalFormatting>
  <conditionalFormatting sqref="T75">
    <cfRule type="containsText" dxfId="873" priority="793" operator="containsText" text=":">
      <formula>NOT(ISERROR(SEARCH(":",T75)))</formula>
    </cfRule>
  </conditionalFormatting>
  <conditionalFormatting sqref="V74:X74 S75:U75">
    <cfRule type="expression" dxfId="872" priority="794">
      <formula>AND($AH$74=$AH$75,$AH$74=$BX$75)</formula>
    </cfRule>
    <cfRule type="expression" dxfId="871" priority="795">
      <formula>AND($AH$74=$AH$75,$AH$74=$BW$75)</formula>
    </cfRule>
    <cfRule type="expression" dxfId="870" priority="796">
      <formula>AND($AH$74=$AH$75,$AH$74=$BV$75)</formula>
    </cfRule>
    <cfRule type="expression" dxfId="869" priority="797">
      <formula>AND($AH$74=$AH$75,$AH$74=$BU$75)</formula>
    </cfRule>
    <cfRule type="expression" dxfId="868" priority="798">
      <formula>AND($AH$74=$AH$75,$AH$74=$BT$75)</formula>
    </cfRule>
  </conditionalFormatting>
  <conditionalFormatting sqref="Z74">
    <cfRule type="containsText" dxfId="867" priority="792" operator="containsText" text=":">
      <formula>NOT(ISERROR(SEARCH(":",Z74)))</formula>
    </cfRule>
  </conditionalFormatting>
  <conditionalFormatting sqref="T76">
    <cfRule type="containsText" dxfId="866" priority="786" operator="containsText" text=":">
      <formula>NOT(ISERROR(SEARCH(":",T76)))</formula>
    </cfRule>
  </conditionalFormatting>
  <conditionalFormatting sqref="Y74:AA74 S76:U76">
    <cfRule type="expression" dxfId="865" priority="787">
      <formula>AND($AH$74=$AH$76,$AH$74=$BX$75)</formula>
    </cfRule>
    <cfRule type="expression" dxfId="864" priority="788">
      <formula>AND($AH$74=$AH$76,$AH$74=$BW$75)</formula>
    </cfRule>
    <cfRule type="expression" dxfId="863" priority="789">
      <formula>AND($AH$74=$AH$76,$AH$74=$BV$75)</formula>
    </cfRule>
    <cfRule type="expression" dxfId="862" priority="790">
      <formula>AND($AH$74=$AH$76,$AH$74=$BU$75)</formula>
    </cfRule>
    <cfRule type="expression" dxfId="861" priority="791">
      <formula>AND($AH$74=$AH$76,$AH$74=$BT$75)</formula>
    </cfRule>
  </conditionalFormatting>
  <conditionalFormatting sqref="AC74">
    <cfRule type="containsText" dxfId="860" priority="785" operator="containsText" text=":">
      <formula>NOT(ISERROR(SEARCH(":",AC74)))</formula>
    </cfRule>
  </conditionalFormatting>
  <conditionalFormatting sqref="T77">
    <cfRule type="containsText" dxfId="859" priority="779" operator="containsText" text=":">
      <formula>NOT(ISERROR(SEARCH(":",T77)))</formula>
    </cfRule>
  </conditionalFormatting>
  <conditionalFormatting sqref="AB74:AD74 S77:U77">
    <cfRule type="expression" dxfId="858" priority="780">
      <formula>AND($AH$74=$AH$77,$AH$74=$BX$75)</formula>
    </cfRule>
    <cfRule type="expression" dxfId="857" priority="781">
      <formula>AND($AH$74=$AH$77,$AH$74=$BW$75)</formula>
    </cfRule>
    <cfRule type="expression" dxfId="856" priority="782">
      <formula>AND($AH$74=$AH$77,$AH$74=$BV$75)</formula>
    </cfRule>
    <cfRule type="expression" dxfId="855" priority="783">
      <formula>AND($AH$74=$AH$77,$AH$74=$BU$75)</formula>
    </cfRule>
    <cfRule type="expression" dxfId="854" priority="784">
      <formula>AND($AH$74=$AH$77,$AH$74=$BT$75)</formula>
    </cfRule>
  </conditionalFormatting>
  <conditionalFormatting sqref="Z75">
    <cfRule type="containsText" dxfId="853" priority="778" operator="containsText" text=":">
      <formula>NOT(ISERROR(SEARCH(":",Z75)))</formula>
    </cfRule>
  </conditionalFormatting>
  <conditionalFormatting sqref="W76">
    <cfRule type="containsText" dxfId="852" priority="772" operator="containsText" text=":">
      <formula>NOT(ISERROR(SEARCH(":",W76)))</formula>
    </cfRule>
  </conditionalFormatting>
  <conditionalFormatting sqref="Y75:AA75 V76:X76">
    <cfRule type="expression" dxfId="851" priority="773">
      <formula>AND($AH$75=$AH$76,$AH$75=$BX$75)</formula>
    </cfRule>
    <cfRule type="expression" dxfId="850" priority="774">
      <formula>AND($AH$75=$AH$76,$AH$75=$BW$75)</formula>
    </cfRule>
    <cfRule type="expression" dxfId="849" priority="775">
      <formula>AND($AH$75=$AH$76,$AH$75=$BV$75)</formula>
    </cfRule>
    <cfRule type="expression" dxfId="848" priority="776">
      <formula>AND($AH$75=$AH$76,$AH$75=$BU$75)</formula>
    </cfRule>
    <cfRule type="expression" dxfId="847" priority="777">
      <formula>AND($AH$75=$AH$76,$AH$75=$BT$75)</formula>
    </cfRule>
  </conditionalFormatting>
  <conditionalFormatting sqref="AC75">
    <cfRule type="containsText" dxfId="846" priority="771" operator="containsText" text=":">
      <formula>NOT(ISERROR(SEARCH(":",AC75)))</formula>
    </cfRule>
  </conditionalFormatting>
  <conditionalFormatting sqref="W77">
    <cfRule type="containsText" dxfId="845" priority="765" operator="containsText" text=":">
      <formula>NOT(ISERROR(SEARCH(":",W77)))</formula>
    </cfRule>
  </conditionalFormatting>
  <conditionalFormatting sqref="AB75:AD75 V77:X77">
    <cfRule type="expression" dxfId="844" priority="766">
      <formula>AND($AH$75=$AH$77,$AH$75=$BX$75)</formula>
    </cfRule>
    <cfRule type="expression" dxfId="843" priority="767">
      <formula>AND($AH$75=$AH$77,$AH$75=$BW$75)</formula>
    </cfRule>
    <cfRule type="expression" dxfId="842" priority="768">
      <formula>AND($AH$75=$AH$77,$AH$75=$BV$75)</formula>
    </cfRule>
    <cfRule type="expression" dxfId="841" priority="769">
      <formula>AND($AH$75=$AH$77,$AH$75=$BU$75)</formula>
    </cfRule>
    <cfRule type="expression" dxfId="840" priority="770">
      <formula>AND($AH$75=$AH$77,$AH$75=$BT$75)</formula>
    </cfRule>
  </conditionalFormatting>
  <conditionalFormatting sqref="AC76">
    <cfRule type="containsText" dxfId="839" priority="764" operator="containsText" text=":">
      <formula>NOT(ISERROR(SEARCH(":",AC76)))</formula>
    </cfRule>
  </conditionalFormatting>
  <conditionalFormatting sqref="Z77">
    <cfRule type="containsText" dxfId="838" priority="758" operator="containsText" text=":">
      <formula>NOT(ISERROR(SEARCH(":",Z77)))</formula>
    </cfRule>
  </conditionalFormatting>
  <conditionalFormatting sqref="AB76:AD76 Y77:AA77">
    <cfRule type="expression" dxfId="837" priority="759">
      <formula>AND($AH$76=$AH$77,$AH$76=$BX$75)</formula>
    </cfRule>
    <cfRule type="expression" dxfId="836" priority="760">
      <formula>AND($AH$76=$AH$77,$AH$76=$BW$75)</formula>
    </cfRule>
    <cfRule type="expression" dxfId="835" priority="761">
      <formula>AND($AH$76=$AH$77,$AH$76=$BV$75)</formula>
    </cfRule>
    <cfRule type="expression" dxfId="834" priority="762">
      <formula>AND($AH$76=$AH$77,$AH$76=$BU$75)</formula>
    </cfRule>
    <cfRule type="expression" dxfId="833" priority="763">
      <formula>AND($AH$76=$AH$77,$AH$76=$BT$75)</formula>
    </cfRule>
  </conditionalFormatting>
  <conditionalFormatting sqref="N82">
    <cfRule type="containsText" dxfId="832" priority="757" operator="containsText" text=":">
      <formula>NOT(ISERROR(SEARCH(":",N82)))</formula>
    </cfRule>
  </conditionalFormatting>
  <conditionalFormatting sqref="Q82">
    <cfRule type="containsText" dxfId="831" priority="756" operator="containsText" text=":">
      <formula>NOT(ISERROR(SEARCH(":",Q82)))</formula>
    </cfRule>
  </conditionalFormatting>
  <conditionalFormatting sqref="M82:O82 J83:L83">
    <cfRule type="expression" dxfId="830" priority="751">
      <formula>AND($AH$82=$AH$83,$AH$82=$BX$86)</formula>
    </cfRule>
    <cfRule type="expression" dxfId="829" priority="752">
      <formula>AND($AH$82=$AH$83,$AH$82=$BW$86)</formula>
    </cfRule>
    <cfRule type="expression" dxfId="828" priority="753">
      <formula>AND($AH$82=$AH$83,$AH$82=$BV$86)</formula>
    </cfRule>
    <cfRule type="expression" dxfId="827" priority="754">
      <formula>AND($AH$82=$AH$83,$AH$82=$BU$86)</formula>
    </cfRule>
    <cfRule type="expression" dxfId="826" priority="755">
      <formula>AND($AH$82=$AH$83,$AH$82=$BT$86)</formula>
    </cfRule>
  </conditionalFormatting>
  <conditionalFormatting sqref="P82:R82 J84:L84">
    <cfRule type="expression" dxfId="825" priority="746">
      <formula>AND($AH$82=$AH$84,$AH$82=$BX$86)</formula>
    </cfRule>
    <cfRule type="expression" dxfId="824" priority="747">
      <formula>AND($AH$82=$AH$84,$AH$82=$BW$86)</formula>
    </cfRule>
    <cfRule type="expression" dxfId="823" priority="748">
      <formula>AND($AH$82=$AH$84,$AH$82=$BV$86)</formula>
    </cfRule>
    <cfRule type="expression" dxfId="822" priority="749">
      <formula>AND($AH$82=$AH$84,$AH$82=$BU$86)</formula>
    </cfRule>
    <cfRule type="expression" dxfId="821" priority="750">
      <formula>AND($AH$82=$AH$84,$AH$82=$BT$86)</formula>
    </cfRule>
  </conditionalFormatting>
  <conditionalFormatting sqref="T82">
    <cfRule type="containsText" dxfId="820" priority="745" operator="containsText" text=":">
      <formula>NOT(ISERROR(SEARCH(":",T82)))</formula>
    </cfRule>
  </conditionalFormatting>
  <conditionalFormatting sqref="K85">
    <cfRule type="containsText" dxfId="819" priority="739" operator="containsText" text=":">
      <formula>NOT(ISERROR(SEARCH(":",K85)))</formula>
    </cfRule>
  </conditionalFormatting>
  <conditionalFormatting sqref="S82:U82 J85:L85">
    <cfRule type="expression" dxfId="818" priority="740">
      <formula>AND($AH$82=$AH$85,$AH$82=$BX$86)</formula>
    </cfRule>
    <cfRule type="expression" dxfId="817" priority="741">
      <formula>AND($AH$82=$AH$85,$AH$82=$BW$86)</formula>
    </cfRule>
    <cfRule type="expression" dxfId="816" priority="742">
      <formula>AND($AH$82=$AH$85,$AH$82=$BV$86)</formula>
    </cfRule>
    <cfRule type="expression" dxfId="815" priority="743">
      <formula>AND($AH$82=$AH$85,$AH$82=$BU$86)</formula>
    </cfRule>
    <cfRule type="expression" dxfId="814" priority="744">
      <formula>AND($AH$82=$AH$85,$AH$82=$BT$86)</formula>
    </cfRule>
  </conditionalFormatting>
  <conditionalFormatting sqref="W82">
    <cfRule type="containsText" dxfId="813" priority="738" operator="containsText" text=":">
      <formula>NOT(ISERROR(SEARCH(":",W82)))</formula>
    </cfRule>
  </conditionalFormatting>
  <conditionalFormatting sqref="K86">
    <cfRule type="containsText" dxfId="812" priority="732" operator="containsText" text=":">
      <formula>NOT(ISERROR(SEARCH(":",K86)))</formula>
    </cfRule>
  </conditionalFormatting>
  <conditionalFormatting sqref="V82:X82 J86:L86">
    <cfRule type="expression" dxfId="811" priority="733">
      <formula>AND($AH$82=$AH$86,$AH$82=$BX$86)</formula>
    </cfRule>
    <cfRule type="expression" dxfId="810" priority="734">
      <formula>AND($AH$82=$AH$86,$AH$82=$BW$86)</formula>
    </cfRule>
    <cfRule type="expression" dxfId="809" priority="735">
      <formula>AND($AH$82=$AH$86,$AH$82=$BV$86)</formula>
    </cfRule>
    <cfRule type="expression" dxfId="808" priority="736">
      <formula>AND($AH$82=$AH$86,$AH$82=$BU$86)</formula>
    </cfRule>
    <cfRule type="expression" dxfId="807" priority="737">
      <formula>AND($AH$82=$AH$86,$AH$82=$BT$86)</formula>
    </cfRule>
  </conditionalFormatting>
  <conditionalFormatting sqref="Z82">
    <cfRule type="containsText" dxfId="806" priority="731" operator="containsText" text=":">
      <formula>NOT(ISERROR(SEARCH(":",Z82)))</formula>
    </cfRule>
  </conditionalFormatting>
  <conditionalFormatting sqref="K87">
    <cfRule type="containsText" dxfId="805" priority="725" operator="containsText" text=":">
      <formula>NOT(ISERROR(SEARCH(":",K87)))</formula>
    </cfRule>
  </conditionalFormatting>
  <conditionalFormatting sqref="Y82:AA82 J87:L87">
    <cfRule type="expression" dxfId="804" priority="726">
      <formula>AND($AH$82=$AH$87,$AH$82=$BX$86)</formula>
    </cfRule>
    <cfRule type="expression" dxfId="803" priority="727">
      <formula>AND($AH$82=$AH$87,$AH$82=$BW$86)</formula>
    </cfRule>
    <cfRule type="expression" dxfId="802" priority="728">
      <formula>AND($AH$82=$AH$87,$AH$82=$BV$86)</formula>
    </cfRule>
    <cfRule type="expression" dxfId="801" priority="729">
      <formula>AND($AH$82=$AH$87,$AH$82=$BU$86)</formula>
    </cfRule>
    <cfRule type="expression" dxfId="800" priority="730">
      <formula>AND($AH$82=$AH$87,$AH$82=$BT$86)</formula>
    </cfRule>
  </conditionalFormatting>
  <conditionalFormatting sqref="AC82">
    <cfRule type="containsText" dxfId="799" priority="724" operator="containsText" text=":">
      <formula>NOT(ISERROR(SEARCH(":",AC82)))</formula>
    </cfRule>
  </conditionalFormatting>
  <conditionalFormatting sqref="K88">
    <cfRule type="containsText" dxfId="798" priority="718" operator="containsText" text=":">
      <formula>NOT(ISERROR(SEARCH(":",K88)))</formula>
    </cfRule>
  </conditionalFormatting>
  <conditionalFormatting sqref="AB82:AD82 J88:L88">
    <cfRule type="expression" dxfId="797" priority="719">
      <formula>AND($AH$82=$AH$88,$AH$82=$BX$86)</formula>
    </cfRule>
    <cfRule type="expression" dxfId="796" priority="720">
      <formula>AND($AH$82=$AH$88,$AH$82=$BW$86)</formula>
    </cfRule>
    <cfRule type="expression" dxfId="795" priority="721">
      <formula>AND($AH$82=$AH$88,$AH$82=$BV$86)</formula>
    </cfRule>
    <cfRule type="expression" dxfId="794" priority="722">
      <formula>AND($AH$82=$AH$88,$AH$82=$BU$86)</formula>
    </cfRule>
    <cfRule type="expression" dxfId="793" priority="723">
      <formula>AND($AH$82=$AH$88,$AH$82=$BT$86)</formula>
    </cfRule>
  </conditionalFormatting>
  <conditionalFormatting sqref="Q83">
    <cfRule type="containsText" dxfId="792" priority="717" operator="containsText" text=":">
      <formula>NOT(ISERROR(SEARCH(":",Q83)))</formula>
    </cfRule>
  </conditionalFormatting>
  <conditionalFormatting sqref="N84">
    <cfRule type="containsText" dxfId="791" priority="711" operator="containsText" text=":">
      <formula>NOT(ISERROR(SEARCH(":",N84)))</formula>
    </cfRule>
  </conditionalFormatting>
  <conditionalFormatting sqref="P83:R83 M84:O84">
    <cfRule type="expression" dxfId="790" priority="712">
      <formula>AND($AH$83=$AH$84,$AH$83=$BX$86)</formula>
    </cfRule>
    <cfRule type="expression" dxfId="789" priority="713">
      <formula>AND($AH$83=$AH$84,$AH$83=$BW$86)</formula>
    </cfRule>
    <cfRule type="expression" dxfId="788" priority="714">
      <formula>AND($AH$83=$AH$84,$AH$83=$BV$86)</formula>
    </cfRule>
    <cfRule type="expression" dxfId="787" priority="715">
      <formula>AND($AH$83=$AH$84,$AH$83=$BU$86)</formula>
    </cfRule>
    <cfRule type="expression" dxfId="786" priority="716">
      <formula>AND($AH$83=$AH$84,$AH$83=$BT$86)</formula>
    </cfRule>
  </conditionalFormatting>
  <conditionalFormatting sqref="T83">
    <cfRule type="containsText" dxfId="785" priority="710" operator="containsText" text=":">
      <formula>NOT(ISERROR(SEARCH(":",T83)))</formula>
    </cfRule>
  </conditionalFormatting>
  <conditionalFormatting sqref="N85">
    <cfRule type="containsText" dxfId="784" priority="704" operator="containsText" text=":">
      <formula>NOT(ISERROR(SEARCH(":",N85)))</formula>
    </cfRule>
  </conditionalFormatting>
  <conditionalFormatting sqref="S83:U83 M85:O85">
    <cfRule type="expression" dxfId="783" priority="705">
      <formula>AND($AH$83=$AH$85,$AH$83=$BX$86)</formula>
    </cfRule>
    <cfRule type="expression" dxfId="782" priority="706">
      <formula>AND($AH$83=$AH$85,$AH$83=$BW$86)</formula>
    </cfRule>
    <cfRule type="expression" dxfId="781" priority="707">
      <formula>AND($AH$83=$AH$85,$AH$83=$BV$86)</formula>
    </cfRule>
    <cfRule type="expression" dxfId="780" priority="708">
      <formula>AND($AH$83=$AH$85,$AH$83=$BU$86)</formula>
    </cfRule>
    <cfRule type="expression" dxfId="779" priority="709">
      <formula>AND($AH$83=$AH$85,$AH$83=$BT$86)</formula>
    </cfRule>
  </conditionalFormatting>
  <conditionalFormatting sqref="W83">
    <cfRule type="containsText" dxfId="778" priority="703" operator="containsText" text=":">
      <formula>NOT(ISERROR(SEARCH(":",W83)))</formula>
    </cfRule>
  </conditionalFormatting>
  <conditionalFormatting sqref="N86">
    <cfRule type="containsText" dxfId="777" priority="697" operator="containsText" text=":">
      <formula>NOT(ISERROR(SEARCH(":",N86)))</formula>
    </cfRule>
  </conditionalFormatting>
  <conditionalFormatting sqref="V83:X83 M86:O86">
    <cfRule type="expression" dxfId="776" priority="698">
      <formula>AND($AH$83=$AH$86,$AH$83=$BX$86)</formula>
    </cfRule>
    <cfRule type="expression" dxfId="775" priority="699">
      <formula>AND($AH$83=$AH$86,$AH$83=$BW$86)</formula>
    </cfRule>
    <cfRule type="expression" dxfId="774" priority="700">
      <formula>AND($AH$83=$AH$86,$AH$83=$BV$86)</formula>
    </cfRule>
    <cfRule type="expression" dxfId="773" priority="701">
      <formula>AND($AH$83=$AH$86,$AH$83=$BU$86)</formula>
    </cfRule>
    <cfRule type="expression" dxfId="772" priority="702">
      <formula>AND($AH$83=$AH$86,$AH$83=$BT$86)</formula>
    </cfRule>
  </conditionalFormatting>
  <conditionalFormatting sqref="Z83">
    <cfRule type="containsText" dxfId="771" priority="696" operator="containsText" text=":">
      <formula>NOT(ISERROR(SEARCH(":",Z83)))</formula>
    </cfRule>
  </conditionalFormatting>
  <conditionalFormatting sqref="N87">
    <cfRule type="containsText" dxfId="770" priority="690" operator="containsText" text=":">
      <formula>NOT(ISERROR(SEARCH(":",N87)))</formula>
    </cfRule>
  </conditionalFormatting>
  <conditionalFormatting sqref="Y83:AA83 M87:O87">
    <cfRule type="expression" dxfId="769" priority="691">
      <formula>AND($AH$83=$AH$87,$AH$83=$BX$86)</formula>
    </cfRule>
    <cfRule type="expression" dxfId="768" priority="692">
      <formula>AND($AH$83=$AH$87,$AH$83=$BW$86)</formula>
    </cfRule>
    <cfRule type="expression" dxfId="767" priority="693">
      <formula>AND($AH$83=$AH$87,$AH$83=$BV$86)</formula>
    </cfRule>
    <cfRule type="expression" dxfId="766" priority="694">
      <formula>AND($AH$83=$AH$87,$AH$83=$BU$86)</formula>
    </cfRule>
    <cfRule type="expression" dxfId="765" priority="695">
      <formula>AND($AH$83=$AH$87,$AH$83=$BT$86)</formula>
    </cfRule>
  </conditionalFormatting>
  <conditionalFormatting sqref="AC83">
    <cfRule type="containsText" dxfId="764" priority="689" operator="containsText" text=":">
      <formula>NOT(ISERROR(SEARCH(":",AC83)))</formula>
    </cfRule>
  </conditionalFormatting>
  <conditionalFormatting sqref="N88">
    <cfRule type="containsText" dxfId="763" priority="683" operator="containsText" text=":">
      <formula>NOT(ISERROR(SEARCH(":",N88)))</formula>
    </cfRule>
  </conditionalFormatting>
  <conditionalFormatting sqref="AB83:AD83 M88:O88">
    <cfRule type="expression" dxfId="762" priority="684">
      <formula>AND($AH$83=$AH$88,$AH$83=$BX$86)</formula>
    </cfRule>
    <cfRule type="expression" dxfId="761" priority="685">
      <formula>AND($AH$83=$AH$88,$AH$83=$BW$86)</formula>
    </cfRule>
    <cfRule type="expression" dxfId="760" priority="686">
      <formula>AND($AH$83=$AH$88,$AH$83=$BV$86)</formula>
    </cfRule>
    <cfRule type="expression" dxfId="759" priority="687">
      <formula>AND($AH$83=$AH$88,$AH$83=$BU$86)</formula>
    </cfRule>
    <cfRule type="expression" dxfId="758" priority="688">
      <formula>AND($AH$83=$AH$88,$AH$83=$BT$86)</formula>
    </cfRule>
  </conditionalFormatting>
  <conditionalFormatting sqref="T84">
    <cfRule type="containsText" dxfId="757" priority="682" operator="containsText" text=":">
      <formula>NOT(ISERROR(SEARCH(":",T84)))</formula>
    </cfRule>
  </conditionalFormatting>
  <conditionalFormatting sqref="Q85">
    <cfRule type="containsText" dxfId="756" priority="676" operator="containsText" text=":">
      <formula>NOT(ISERROR(SEARCH(":",Q85)))</formula>
    </cfRule>
  </conditionalFormatting>
  <conditionalFormatting sqref="S84:U84 P85:R85">
    <cfRule type="expression" dxfId="755" priority="677">
      <formula>AND($AH$84=$AH$85,$AH$84=$BX$86)</formula>
    </cfRule>
    <cfRule type="expression" dxfId="754" priority="678">
      <formula>AND($AH$84=$AH$85,$AH$84=$BW$86)</formula>
    </cfRule>
    <cfRule type="expression" dxfId="753" priority="679">
      <formula>AND($AH$84=$AH$85,$AH$84=$BV$86)</formula>
    </cfRule>
    <cfRule type="expression" dxfId="752" priority="680">
      <formula>AND($AH$84=$AH$85,$AH$84=$BU$86)</formula>
    </cfRule>
    <cfRule type="expression" dxfId="751" priority="681">
      <formula>AND($AH$84=$AH$85,$AH$84=$BT$86)</formula>
    </cfRule>
  </conditionalFormatting>
  <conditionalFormatting sqref="W84">
    <cfRule type="containsText" dxfId="750" priority="675" operator="containsText" text=":">
      <formula>NOT(ISERROR(SEARCH(":",W84)))</formula>
    </cfRule>
  </conditionalFormatting>
  <conditionalFormatting sqref="Q86">
    <cfRule type="containsText" dxfId="749" priority="669" operator="containsText" text=":">
      <formula>NOT(ISERROR(SEARCH(":",Q86)))</formula>
    </cfRule>
  </conditionalFormatting>
  <conditionalFormatting sqref="V84:X84 P86:R86">
    <cfRule type="expression" dxfId="748" priority="670">
      <formula>AND($AH$84=$AH$86,$AH$84=$BX$86)</formula>
    </cfRule>
    <cfRule type="expression" dxfId="747" priority="671">
      <formula>AND($AH$84=$AH$86,$AH$84=$BW$86)</formula>
    </cfRule>
    <cfRule type="expression" dxfId="746" priority="672">
      <formula>AND($AH$84=$AH$86,$AH$84=$BV$86)</formula>
    </cfRule>
    <cfRule type="expression" dxfId="745" priority="673">
      <formula>AND($AH$84=$AH$86,$AH$84=$BU$86)</formula>
    </cfRule>
    <cfRule type="expression" dxfId="744" priority="674">
      <formula>AND($AH$84=$AH$86,$AH$84=$BT$86)</formula>
    </cfRule>
  </conditionalFormatting>
  <conditionalFormatting sqref="Z84">
    <cfRule type="containsText" dxfId="743" priority="668" operator="containsText" text=":">
      <formula>NOT(ISERROR(SEARCH(":",Z84)))</formula>
    </cfRule>
  </conditionalFormatting>
  <conditionalFormatting sqref="Q87">
    <cfRule type="containsText" dxfId="742" priority="662" operator="containsText" text=":">
      <formula>NOT(ISERROR(SEARCH(":",Q87)))</formula>
    </cfRule>
  </conditionalFormatting>
  <conditionalFormatting sqref="Y84:AA84 P87:R87">
    <cfRule type="expression" dxfId="741" priority="663">
      <formula>AND($AH$84=$AH$87,$AH$84=$BX$86)</formula>
    </cfRule>
    <cfRule type="expression" dxfId="740" priority="664">
      <formula>AND($AH$84=$AH$87,$AH$84=$BW$86)</formula>
    </cfRule>
    <cfRule type="expression" dxfId="739" priority="665">
      <formula>AND($AH$84=$AH$87,$AH$84=$BV$86)</formula>
    </cfRule>
    <cfRule type="expression" dxfId="738" priority="666">
      <formula>AND($AH$84=$AH$87,$AH$84=$BU$86)</formula>
    </cfRule>
    <cfRule type="expression" dxfId="737" priority="667">
      <formula>AND($AH$84=$AH$87,$AH$84=$BT$86)</formula>
    </cfRule>
  </conditionalFormatting>
  <conditionalFormatting sqref="AC84">
    <cfRule type="containsText" dxfId="736" priority="661" operator="containsText" text=":">
      <formula>NOT(ISERROR(SEARCH(":",AC84)))</formula>
    </cfRule>
  </conditionalFormatting>
  <conditionalFormatting sqref="Q88">
    <cfRule type="containsText" dxfId="735" priority="655" operator="containsText" text=":">
      <formula>NOT(ISERROR(SEARCH(":",Q88)))</formula>
    </cfRule>
  </conditionalFormatting>
  <conditionalFormatting sqref="AB84:AD84 P88:R88">
    <cfRule type="expression" dxfId="734" priority="656">
      <formula>AND($AH$84=$AH$88,$AH$84=$BX$86)</formula>
    </cfRule>
    <cfRule type="expression" dxfId="733" priority="657">
      <formula>AND($AH$84=$AH$88,$AH$84=$BW$86)</formula>
    </cfRule>
    <cfRule type="expression" dxfId="732" priority="658">
      <formula>AND($AH$84=$AH$88,$AH$84=$BV$86)</formula>
    </cfRule>
    <cfRule type="expression" dxfId="731" priority="659">
      <formula>AND($AH$84=$AH$88,$AH$84=$BU$86)</formula>
    </cfRule>
    <cfRule type="expression" dxfId="730" priority="660">
      <formula>AND($AH$84=$AH$88,$AH$84=$BT$86)</formula>
    </cfRule>
  </conditionalFormatting>
  <conditionalFormatting sqref="W85">
    <cfRule type="containsText" dxfId="729" priority="654" operator="containsText" text=":">
      <formula>NOT(ISERROR(SEARCH(":",W85)))</formula>
    </cfRule>
  </conditionalFormatting>
  <conditionalFormatting sqref="T86">
    <cfRule type="containsText" dxfId="728" priority="648" operator="containsText" text=":">
      <formula>NOT(ISERROR(SEARCH(":",T86)))</formula>
    </cfRule>
  </conditionalFormatting>
  <conditionalFormatting sqref="V85:X85 S86:U86">
    <cfRule type="expression" dxfId="727" priority="649">
      <formula>AND($AH$85=$AH$86,$AH$85=$BX$86)</formula>
    </cfRule>
    <cfRule type="expression" dxfId="726" priority="650">
      <formula>AND($AH$85=$AH$86,$AH$85=$BW$86)</formula>
    </cfRule>
    <cfRule type="expression" dxfId="725" priority="651">
      <formula>AND($AH$85=$AH$86,$AH$85=$BV$86)</formula>
    </cfRule>
    <cfRule type="expression" dxfId="724" priority="652">
      <formula>AND($AH$85=$AH$86,$AH$85=$BU$86)</formula>
    </cfRule>
    <cfRule type="expression" dxfId="723" priority="653">
      <formula>AND($AH$85=$AH$86,$AH$85=$BT$86)</formula>
    </cfRule>
  </conditionalFormatting>
  <conditionalFormatting sqref="Z85">
    <cfRule type="containsText" dxfId="722" priority="647" operator="containsText" text=":">
      <formula>NOT(ISERROR(SEARCH(":",Z85)))</formula>
    </cfRule>
  </conditionalFormatting>
  <conditionalFormatting sqref="T87">
    <cfRule type="containsText" dxfId="721" priority="641" operator="containsText" text=":">
      <formula>NOT(ISERROR(SEARCH(":",T87)))</formula>
    </cfRule>
  </conditionalFormatting>
  <conditionalFormatting sqref="Y85:AA85 S87:U87">
    <cfRule type="expression" dxfId="720" priority="642">
      <formula>AND($AH$85=$AH$87,$AH$85=$BX$86)</formula>
    </cfRule>
    <cfRule type="expression" dxfId="719" priority="643">
      <formula>AND($AH$85=$AH$87,$AH$85=$BW$86)</formula>
    </cfRule>
    <cfRule type="expression" dxfId="718" priority="644">
      <formula>AND($AH$85=$AH$87,$AH$85=$BV$86)</formula>
    </cfRule>
    <cfRule type="expression" dxfId="717" priority="645">
      <formula>AND($AH$85=$AH$87,$AH$85=$BU$86)</formula>
    </cfRule>
    <cfRule type="expression" dxfId="716" priority="646">
      <formula>AND($AH$85=$AH$87,$AH$85=$BT$86)</formula>
    </cfRule>
  </conditionalFormatting>
  <conditionalFormatting sqref="AC85">
    <cfRule type="containsText" dxfId="715" priority="640" operator="containsText" text=":">
      <formula>NOT(ISERROR(SEARCH(":",AC85)))</formula>
    </cfRule>
  </conditionalFormatting>
  <conditionalFormatting sqref="T88">
    <cfRule type="containsText" dxfId="714" priority="634" operator="containsText" text=":">
      <formula>NOT(ISERROR(SEARCH(":",T88)))</formula>
    </cfRule>
  </conditionalFormatting>
  <conditionalFormatting sqref="AB85:AD85 S88:U88">
    <cfRule type="expression" dxfId="713" priority="635">
      <formula>AND($AH$85=$AH$88,$AH$85=$BX$86)</formula>
    </cfRule>
    <cfRule type="expression" dxfId="712" priority="636">
      <formula>AND($AH$85=$AH$88,$AH$85=$BW$86)</formula>
    </cfRule>
    <cfRule type="expression" dxfId="711" priority="637">
      <formula>AND($AH$85=$AH$88,$AH$85=$BV$86)</formula>
    </cfRule>
    <cfRule type="expression" dxfId="710" priority="638">
      <formula>AND($AH$85=$AH$88,$AH$85=$BU$86)</formula>
    </cfRule>
    <cfRule type="expression" dxfId="709" priority="639">
      <formula>AND($AH$85=$AH$88,$AH$85=$BT$86)</formula>
    </cfRule>
  </conditionalFormatting>
  <conditionalFormatting sqref="Z86">
    <cfRule type="containsText" dxfId="708" priority="633" operator="containsText" text=":">
      <formula>NOT(ISERROR(SEARCH(":",Z86)))</formula>
    </cfRule>
  </conditionalFormatting>
  <conditionalFormatting sqref="W87">
    <cfRule type="containsText" dxfId="707" priority="627" operator="containsText" text=":">
      <formula>NOT(ISERROR(SEARCH(":",W87)))</formula>
    </cfRule>
  </conditionalFormatting>
  <conditionalFormatting sqref="Y86:AA86 V87:X87">
    <cfRule type="expression" dxfId="706" priority="628">
      <formula>AND($AH$86=$AH$87,$AH$86=$BX$86)</formula>
    </cfRule>
    <cfRule type="expression" dxfId="705" priority="629">
      <formula>AND($AH$86=$AH$87,$AH$86=$BW$86)</formula>
    </cfRule>
    <cfRule type="expression" dxfId="704" priority="630">
      <formula>AND($AH$86=$AH$87,$AH$86=$BV$86)</formula>
    </cfRule>
    <cfRule type="expression" dxfId="703" priority="631">
      <formula>AND($AH$86=$AH$87,$AH$86=$BU$86)</formula>
    </cfRule>
    <cfRule type="expression" dxfId="702" priority="632">
      <formula>AND($AH$86=$AH$87,$AH$86=$BT$86)</formula>
    </cfRule>
  </conditionalFormatting>
  <conditionalFormatting sqref="AC86">
    <cfRule type="containsText" dxfId="701" priority="626" operator="containsText" text=":">
      <formula>NOT(ISERROR(SEARCH(":",AC86)))</formula>
    </cfRule>
  </conditionalFormatting>
  <conditionalFormatting sqref="W88">
    <cfRule type="containsText" dxfId="700" priority="620" operator="containsText" text=":">
      <formula>NOT(ISERROR(SEARCH(":",W88)))</formula>
    </cfRule>
  </conditionalFormatting>
  <conditionalFormatting sqref="AB86:AD86 V88:X88">
    <cfRule type="expression" dxfId="699" priority="621">
      <formula>AND($AH$86=$AH$88,$AH$86=$BX$86)</formula>
    </cfRule>
    <cfRule type="expression" dxfId="698" priority="622">
      <formula>AND($AH$86=$AH$88,$AH$86=$BW$86)</formula>
    </cfRule>
    <cfRule type="expression" dxfId="697" priority="623">
      <formula>AND($AH$86=$AH$88,$AH$86=$BV$86)</formula>
    </cfRule>
    <cfRule type="expression" dxfId="696" priority="624">
      <formula>AND($AH$86=$AH$88,$AH$86=$BU$86)</formula>
    </cfRule>
    <cfRule type="expression" dxfId="695" priority="625">
      <formula>AND($AH$86=$AH$88,$AH$86=$BT$86)</formula>
    </cfRule>
  </conditionalFormatting>
  <conditionalFormatting sqref="AC87">
    <cfRule type="containsText" dxfId="694" priority="619" operator="containsText" text=":">
      <formula>NOT(ISERROR(SEARCH(":",AC87)))</formula>
    </cfRule>
  </conditionalFormatting>
  <conditionalFormatting sqref="Z88">
    <cfRule type="containsText" dxfId="693" priority="613" operator="containsText" text=":">
      <formula>NOT(ISERROR(SEARCH(":",Z88)))</formula>
    </cfRule>
  </conditionalFormatting>
  <conditionalFormatting sqref="AB87:AD87 Y88:AA88">
    <cfRule type="expression" dxfId="692" priority="614">
      <formula>AND($AH$87=$AH$88,$AH$87=$BX$86)</formula>
    </cfRule>
    <cfRule type="expression" dxfId="691" priority="615">
      <formula>AND($AH$87=$AH$88,$AH$87=$BW$86)</formula>
    </cfRule>
    <cfRule type="expression" dxfId="690" priority="616">
      <formula>AND($AH$87=$AH$88,$AH$87=$BV$86)</formula>
    </cfRule>
    <cfRule type="expression" dxfId="689" priority="617">
      <formula>AND($AH$87=$AH$88,$AH$87=$BU$86)</formula>
    </cfRule>
    <cfRule type="expression" dxfId="688" priority="618">
      <formula>AND($AH$87=$AH$88,$AH$87=$BT$86)</formula>
    </cfRule>
  </conditionalFormatting>
  <conditionalFormatting sqref="N93">
    <cfRule type="containsText" dxfId="687" priority="612" operator="containsText" text=":">
      <formula>NOT(ISERROR(SEARCH(":",N93)))</formula>
    </cfRule>
  </conditionalFormatting>
  <conditionalFormatting sqref="Q93">
    <cfRule type="containsText" dxfId="686" priority="611" operator="containsText" text=":">
      <formula>NOT(ISERROR(SEARCH(":",Q93)))</formula>
    </cfRule>
  </conditionalFormatting>
  <conditionalFormatting sqref="M93:O93 J94:L94">
    <cfRule type="expression" dxfId="685" priority="606">
      <formula>AND($AH$93=$AH$94,$AH$93=$BX$97)</formula>
    </cfRule>
    <cfRule type="expression" dxfId="684" priority="607">
      <formula>AND($AH$93=$AH$94,$AH$93=$BW$97)</formula>
    </cfRule>
    <cfRule type="expression" dxfId="683" priority="608">
      <formula>AND($AH$93=$AH$94,$AH$93=$BV$97)</formula>
    </cfRule>
    <cfRule type="expression" dxfId="682" priority="609">
      <formula>AND($AH$93=$AH$94,$AH$93=$BU$97)</formula>
    </cfRule>
    <cfRule type="expression" dxfId="681" priority="610">
      <formula>AND($AH$93=$AH$94,$AH$93=$BT$97)</formula>
    </cfRule>
  </conditionalFormatting>
  <conditionalFormatting sqref="P93:R93 J95:L95">
    <cfRule type="expression" dxfId="680" priority="601">
      <formula>AND($AH$93=$AH$95,$AH$93=$BX$97)</formula>
    </cfRule>
    <cfRule type="expression" dxfId="679" priority="602">
      <formula>AND($AH$93=$AH$95,$AH$93=$BW$97)</formula>
    </cfRule>
    <cfRule type="expression" dxfId="678" priority="603">
      <formula>AND($AH$93=$AH$95,$AH$93=$BV$97)</formula>
    </cfRule>
    <cfRule type="expression" dxfId="677" priority="604">
      <formula>AND($AH$93=$AH$95,$AH$93=$BU$97)</formula>
    </cfRule>
    <cfRule type="expression" dxfId="676" priority="605">
      <formula>AND($AH$93=$AH$95,$AH$93=$BT$97)</formula>
    </cfRule>
  </conditionalFormatting>
  <conditionalFormatting sqref="T93">
    <cfRule type="containsText" dxfId="675" priority="600" operator="containsText" text=":">
      <formula>NOT(ISERROR(SEARCH(":",T93)))</formula>
    </cfRule>
  </conditionalFormatting>
  <conditionalFormatting sqref="K96">
    <cfRule type="containsText" dxfId="674" priority="594" operator="containsText" text=":">
      <formula>NOT(ISERROR(SEARCH(":",K96)))</formula>
    </cfRule>
  </conditionalFormatting>
  <conditionalFormatting sqref="S93:U93 J96:L96">
    <cfRule type="expression" dxfId="673" priority="595">
      <formula>AND($AH$93=$AH$96,$AH$93=$BX$97)</formula>
    </cfRule>
    <cfRule type="expression" dxfId="672" priority="596">
      <formula>AND($AH$93=$AH$96,$AH$93=$BW$97)</formula>
    </cfRule>
    <cfRule type="expression" dxfId="671" priority="597">
      <formula>AND($AH$93=$AH$96,$AH$93=$BV$97)</formula>
    </cfRule>
    <cfRule type="expression" dxfId="670" priority="598">
      <formula>AND($AH$93=$AH$96,$AH$93=$BU$97)</formula>
    </cfRule>
    <cfRule type="expression" dxfId="669" priority="599">
      <formula>AND($AH$93=$AH$96,$AH$93=$BT$97)</formula>
    </cfRule>
  </conditionalFormatting>
  <conditionalFormatting sqref="W93">
    <cfRule type="containsText" dxfId="668" priority="593" operator="containsText" text=":">
      <formula>NOT(ISERROR(SEARCH(":",W93)))</formula>
    </cfRule>
  </conditionalFormatting>
  <conditionalFormatting sqref="K97">
    <cfRule type="containsText" dxfId="667" priority="587" operator="containsText" text=":">
      <formula>NOT(ISERROR(SEARCH(":",K97)))</formula>
    </cfRule>
  </conditionalFormatting>
  <conditionalFormatting sqref="V93:X93 J97:L97">
    <cfRule type="expression" dxfId="666" priority="588">
      <formula>AND($AH$93=$AH$97,$AH$93=$BX$97)</formula>
    </cfRule>
    <cfRule type="expression" dxfId="665" priority="589">
      <formula>AND($AH$93=$AH$97,$AH$93=$BW$97)</formula>
    </cfRule>
    <cfRule type="expression" dxfId="664" priority="590">
      <formula>AND($AH$93=$AH$97,$AH$93=$BV$97)</formula>
    </cfRule>
    <cfRule type="expression" dxfId="663" priority="591">
      <formula>AND($AH$93=$AH$97,$AH$93=$BU$97)</formula>
    </cfRule>
    <cfRule type="expression" dxfId="662" priority="592">
      <formula>AND($AH$93=$AH$97,$AH$93=$BT$97)</formula>
    </cfRule>
  </conditionalFormatting>
  <conditionalFormatting sqref="Z93">
    <cfRule type="containsText" dxfId="661" priority="586" operator="containsText" text=":">
      <formula>NOT(ISERROR(SEARCH(":",Z93)))</formula>
    </cfRule>
  </conditionalFormatting>
  <conditionalFormatting sqref="K98">
    <cfRule type="containsText" dxfId="660" priority="580" operator="containsText" text=":">
      <formula>NOT(ISERROR(SEARCH(":",K98)))</formula>
    </cfRule>
  </conditionalFormatting>
  <conditionalFormatting sqref="Y93:AA93 J98:L98">
    <cfRule type="expression" dxfId="659" priority="581">
      <formula>AND($AH$93=$AH$98,$AH$93=$BX$97)</formula>
    </cfRule>
    <cfRule type="expression" dxfId="658" priority="582">
      <formula>AND($AH$93=$AH$98,$AH$93=$BW$97)</formula>
    </cfRule>
    <cfRule type="expression" dxfId="657" priority="583">
      <formula>AND($AH$93=$AH$98,$AH$93=$BV$97)</formula>
    </cfRule>
    <cfRule type="expression" dxfId="656" priority="584">
      <formula>AND($AH$93=$AH$98,$AH$93=$BU$97)</formula>
    </cfRule>
    <cfRule type="expression" dxfId="655" priority="585">
      <formula>AND($AH$93=$AH$98,$AH$93=$BT$97)</formula>
    </cfRule>
  </conditionalFormatting>
  <conditionalFormatting sqref="AC93">
    <cfRule type="containsText" dxfId="654" priority="579" operator="containsText" text=":">
      <formula>NOT(ISERROR(SEARCH(":",AC93)))</formula>
    </cfRule>
  </conditionalFormatting>
  <conditionalFormatting sqref="K99">
    <cfRule type="containsText" dxfId="653" priority="573" operator="containsText" text=":">
      <formula>NOT(ISERROR(SEARCH(":",K99)))</formula>
    </cfRule>
  </conditionalFormatting>
  <conditionalFormatting sqref="AB93:AD93 J99:L99">
    <cfRule type="expression" dxfId="652" priority="574">
      <formula>AND($AH$93=$AH$99,$AH$93=$BX$97)</formula>
    </cfRule>
    <cfRule type="expression" dxfId="651" priority="575">
      <formula>AND($AH$93=$AH$99,$AH$93=$BW$97)</formula>
    </cfRule>
    <cfRule type="expression" dxfId="650" priority="576">
      <formula>AND($AH$93=$AH$99,$AH$93=$BV$97)</formula>
    </cfRule>
    <cfRule type="expression" dxfId="649" priority="577">
      <formula>AND($AH$93=$AH$99,$AH$93=$BU$97)</formula>
    </cfRule>
    <cfRule type="expression" dxfId="648" priority="578">
      <formula>AND($AH$93=$AH$99,$AH$93=$BT$97)</formula>
    </cfRule>
  </conditionalFormatting>
  <conditionalFormatting sqref="Q94">
    <cfRule type="containsText" dxfId="647" priority="572" operator="containsText" text=":">
      <formula>NOT(ISERROR(SEARCH(":",Q94)))</formula>
    </cfRule>
  </conditionalFormatting>
  <conditionalFormatting sqref="N95">
    <cfRule type="containsText" dxfId="646" priority="566" operator="containsText" text=":">
      <formula>NOT(ISERROR(SEARCH(":",N95)))</formula>
    </cfRule>
  </conditionalFormatting>
  <conditionalFormatting sqref="P94:R94 M95:O95">
    <cfRule type="expression" dxfId="645" priority="567">
      <formula>AND($AH$94=$AH$95,$AH$94=$BX$97)</formula>
    </cfRule>
    <cfRule type="expression" dxfId="644" priority="568">
      <formula>AND($AH$94=$AH$95,$AH$94=$BW$97)</formula>
    </cfRule>
    <cfRule type="expression" dxfId="643" priority="569">
      <formula>AND($AH$94=$AH$95,$AH$94=$BV$97)</formula>
    </cfRule>
    <cfRule type="expression" dxfId="642" priority="570">
      <formula>AND($AH$94=$AH$95,$AH$94=$BU$97)</formula>
    </cfRule>
    <cfRule type="expression" dxfId="641" priority="571">
      <formula>AND($AH$94=$AH$95,$AH$94=$BT$97)</formula>
    </cfRule>
  </conditionalFormatting>
  <conditionalFormatting sqref="T94">
    <cfRule type="containsText" dxfId="640" priority="565" operator="containsText" text=":">
      <formula>NOT(ISERROR(SEARCH(":",T94)))</formula>
    </cfRule>
  </conditionalFormatting>
  <conditionalFormatting sqref="N96">
    <cfRule type="containsText" dxfId="639" priority="559" operator="containsText" text=":">
      <formula>NOT(ISERROR(SEARCH(":",N96)))</formula>
    </cfRule>
  </conditionalFormatting>
  <conditionalFormatting sqref="S94:U94 M96:O96">
    <cfRule type="expression" dxfId="638" priority="560">
      <formula>AND($AH$94=$AH$96,$AH$94=$BX$97)</formula>
    </cfRule>
    <cfRule type="expression" dxfId="637" priority="561">
      <formula>AND($AH$94=$AH$96,$AH$94=$BW$97)</formula>
    </cfRule>
    <cfRule type="expression" dxfId="636" priority="562">
      <formula>AND($AH$94=$AH$96,$AH$94=$BV$97)</formula>
    </cfRule>
    <cfRule type="expression" dxfId="635" priority="563">
      <formula>AND($AH$94=$AH$96,$AH$94=$BU$97)</formula>
    </cfRule>
    <cfRule type="expression" dxfId="634" priority="564">
      <formula>AND($AH$94=$AH$96,$AH$94=$BT$97)</formula>
    </cfRule>
  </conditionalFormatting>
  <conditionalFormatting sqref="W94">
    <cfRule type="containsText" dxfId="633" priority="558" operator="containsText" text=":">
      <formula>NOT(ISERROR(SEARCH(":",W94)))</formula>
    </cfRule>
  </conditionalFormatting>
  <conditionalFormatting sqref="N97">
    <cfRule type="containsText" dxfId="632" priority="552" operator="containsText" text=":">
      <formula>NOT(ISERROR(SEARCH(":",N97)))</formula>
    </cfRule>
  </conditionalFormatting>
  <conditionalFormatting sqref="V94:X94 M97:O97">
    <cfRule type="expression" dxfId="631" priority="553">
      <formula>AND($AH$94=$AH$97,$AH$94=$BX$97)</formula>
    </cfRule>
    <cfRule type="expression" dxfId="630" priority="554">
      <formula>AND($AH$94=$AH$97,$AH$94=$BW$97)</formula>
    </cfRule>
    <cfRule type="expression" dxfId="629" priority="555">
      <formula>AND($AH$94=$AH$97,$AH$94=$BV$97)</formula>
    </cfRule>
    <cfRule type="expression" dxfId="628" priority="556">
      <formula>AND($AH$94=$AH$97,$AH$94=$BU$97)</formula>
    </cfRule>
    <cfRule type="expression" dxfId="627" priority="557">
      <formula>AND($AH$94=$AH$97,$AH$94=$BT$97)</formula>
    </cfRule>
  </conditionalFormatting>
  <conditionalFormatting sqref="Z94">
    <cfRule type="containsText" dxfId="626" priority="551" operator="containsText" text=":">
      <formula>NOT(ISERROR(SEARCH(":",Z94)))</formula>
    </cfRule>
  </conditionalFormatting>
  <conditionalFormatting sqref="N98">
    <cfRule type="containsText" dxfId="625" priority="545" operator="containsText" text=":">
      <formula>NOT(ISERROR(SEARCH(":",N98)))</formula>
    </cfRule>
  </conditionalFormatting>
  <conditionalFormatting sqref="Y94:AA94 M98:O98">
    <cfRule type="expression" dxfId="624" priority="546">
      <formula>AND($AH$94=$AH$98,$AH$94=$BX$97)</formula>
    </cfRule>
    <cfRule type="expression" dxfId="623" priority="547">
      <formula>AND($AH$94=$AH$98,$AH$94=$BW$97)</formula>
    </cfRule>
    <cfRule type="expression" dxfId="622" priority="548">
      <formula>AND($AH$94=$AH$98,$AH$94=$BV$97)</formula>
    </cfRule>
    <cfRule type="expression" dxfId="621" priority="549">
      <formula>AND($AH$94=$AH$98,$AH$94=$BU$97)</formula>
    </cfRule>
    <cfRule type="expression" dxfId="620" priority="550">
      <formula>AND($AH$94=$AH$98,$AH$94=$BT$97)</formula>
    </cfRule>
  </conditionalFormatting>
  <conditionalFormatting sqref="AC94">
    <cfRule type="containsText" dxfId="619" priority="544" operator="containsText" text=":">
      <formula>NOT(ISERROR(SEARCH(":",AC94)))</formula>
    </cfRule>
  </conditionalFormatting>
  <conditionalFormatting sqref="N99">
    <cfRule type="containsText" dxfId="618" priority="538" operator="containsText" text=":">
      <formula>NOT(ISERROR(SEARCH(":",N99)))</formula>
    </cfRule>
  </conditionalFormatting>
  <conditionalFormatting sqref="AB94:AD94 M99:O99">
    <cfRule type="expression" dxfId="617" priority="539">
      <formula>AND($AH$94=$AH$99,$AH$94=$BX$97)</formula>
    </cfRule>
    <cfRule type="expression" dxfId="616" priority="540">
      <formula>AND($AH$94=$AH$99,$AH$94=$BW$97)</formula>
    </cfRule>
    <cfRule type="expression" dxfId="615" priority="541">
      <formula>AND($AH$94=$AH$99,$AH$94=$BV$97)</formula>
    </cfRule>
    <cfRule type="expression" dxfId="614" priority="542">
      <formula>AND($AH$94=$AH$99,$AH$94=$BU$97)</formula>
    </cfRule>
    <cfRule type="expression" dxfId="613" priority="543">
      <formula>AND($AH$94=$AH$99,$AH$94=$BT$97)</formula>
    </cfRule>
  </conditionalFormatting>
  <conditionalFormatting sqref="T95">
    <cfRule type="containsText" dxfId="612" priority="537" operator="containsText" text=":">
      <formula>NOT(ISERROR(SEARCH(":",T95)))</formula>
    </cfRule>
  </conditionalFormatting>
  <conditionalFormatting sqref="Q96">
    <cfRule type="containsText" dxfId="611" priority="531" operator="containsText" text=":">
      <formula>NOT(ISERROR(SEARCH(":",Q96)))</formula>
    </cfRule>
  </conditionalFormatting>
  <conditionalFormatting sqref="S95:U95 P96:R96">
    <cfRule type="expression" dxfId="610" priority="532">
      <formula>AND($AH$95=$AH$96,$AH$95=$BX$97)</formula>
    </cfRule>
    <cfRule type="expression" dxfId="609" priority="533">
      <formula>AND($AH$95=$AH$96,$AH$95=$BW$97)</formula>
    </cfRule>
    <cfRule type="expression" dxfId="608" priority="534">
      <formula>AND($AH$95=$AH$96,$AH$95=$BV$97)</formula>
    </cfRule>
    <cfRule type="expression" dxfId="607" priority="535">
      <formula>AND($AH$95=$AH$96,$AH$95=$BU$97)</formula>
    </cfRule>
    <cfRule type="expression" dxfId="606" priority="536">
      <formula>AND($AH$95=$AH$96,$AH$95=$BT$97)</formula>
    </cfRule>
  </conditionalFormatting>
  <conditionalFormatting sqref="W95">
    <cfRule type="containsText" dxfId="605" priority="530" operator="containsText" text=":">
      <formula>NOT(ISERROR(SEARCH(":",W95)))</formula>
    </cfRule>
  </conditionalFormatting>
  <conditionalFormatting sqref="Q97">
    <cfRule type="containsText" dxfId="604" priority="524" operator="containsText" text=":">
      <formula>NOT(ISERROR(SEARCH(":",Q97)))</formula>
    </cfRule>
  </conditionalFormatting>
  <conditionalFormatting sqref="V95:X95 P97:R97">
    <cfRule type="expression" dxfId="603" priority="525">
      <formula>AND($AH$95=$AH$97,$AH$95=$BX$97)</formula>
    </cfRule>
    <cfRule type="expression" dxfId="602" priority="526">
      <formula>AND($AH$95=$AH$97,$AH$95=$BW$97)</formula>
    </cfRule>
    <cfRule type="expression" dxfId="601" priority="527">
      <formula>AND($AH$95=$AH$97,$AH$95=$BV$97)</formula>
    </cfRule>
    <cfRule type="expression" dxfId="600" priority="528">
      <formula>AND($AH$95=$AH$97,$AH$95=$BU$97)</formula>
    </cfRule>
    <cfRule type="expression" dxfId="599" priority="529">
      <formula>AND($AH$95=$AH$97,$AH$95=$BT$97)</formula>
    </cfRule>
  </conditionalFormatting>
  <conditionalFormatting sqref="Z95">
    <cfRule type="containsText" dxfId="598" priority="523" operator="containsText" text=":">
      <formula>NOT(ISERROR(SEARCH(":",Z95)))</formula>
    </cfRule>
  </conditionalFormatting>
  <conditionalFormatting sqref="Q98">
    <cfRule type="containsText" dxfId="597" priority="517" operator="containsText" text=":">
      <formula>NOT(ISERROR(SEARCH(":",Q98)))</formula>
    </cfRule>
  </conditionalFormatting>
  <conditionalFormatting sqref="Y95:AA95 P98:R98">
    <cfRule type="expression" dxfId="596" priority="518">
      <formula>AND($AH$95=$AH$98,$AH$95=$BX$97)</formula>
    </cfRule>
    <cfRule type="expression" dxfId="595" priority="519">
      <formula>AND($AH$95=$AH$98,$AH$95=$BW$97)</formula>
    </cfRule>
    <cfRule type="expression" dxfId="594" priority="520">
      <formula>AND($AH$95=$AH$98,$AH$95=$BV$97)</formula>
    </cfRule>
    <cfRule type="expression" dxfId="593" priority="521">
      <formula>AND($AH$95=$AH$98,$AH$95=$BU$97)</formula>
    </cfRule>
    <cfRule type="expression" dxfId="592" priority="522">
      <formula>AND($AH$95=$AH$98,$AH$95=$BT$97)</formula>
    </cfRule>
  </conditionalFormatting>
  <conditionalFormatting sqref="AC95">
    <cfRule type="containsText" dxfId="591" priority="516" operator="containsText" text=":">
      <formula>NOT(ISERROR(SEARCH(":",AC95)))</formula>
    </cfRule>
  </conditionalFormatting>
  <conditionalFormatting sqref="Q99">
    <cfRule type="containsText" dxfId="590" priority="510" operator="containsText" text=":">
      <formula>NOT(ISERROR(SEARCH(":",Q99)))</formula>
    </cfRule>
  </conditionalFormatting>
  <conditionalFormatting sqref="AB95:AD95 P99:R99">
    <cfRule type="expression" dxfId="589" priority="511">
      <formula>AND($AH$95=$AH$99,$AH$95=$BX$97)</formula>
    </cfRule>
    <cfRule type="expression" dxfId="588" priority="512">
      <formula>AND($AH$95=$AH$99,$AH$95=$BW$97)</formula>
    </cfRule>
    <cfRule type="expression" dxfId="587" priority="513">
      <formula>AND($AH$95=$AH$99,$AH$95=$BV$97)</formula>
    </cfRule>
    <cfRule type="expression" dxfId="586" priority="514">
      <formula>AND($AH$95=$AH$99,$AH$95=$BU$97)</formula>
    </cfRule>
    <cfRule type="expression" dxfId="585" priority="515">
      <formula>AND($AH$95=$AH$99,$AH$95=$BT$97)</formula>
    </cfRule>
  </conditionalFormatting>
  <conditionalFormatting sqref="W96">
    <cfRule type="containsText" dxfId="584" priority="509" operator="containsText" text=":">
      <formula>NOT(ISERROR(SEARCH(":",W96)))</formula>
    </cfRule>
  </conditionalFormatting>
  <conditionalFormatting sqref="T97">
    <cfRule type="containsText" dxfId="583" priority="503" operator="containsText" text=":">
      <formula>NOT(ISERROR(SEARCH(":",T97)))</formula>
    </cfRule>
  </conditionalFormatting>
  <conditionalFormatting sqref="V96:X96 S97:U97">
    <cfRule type="expression" dxfId="582" priority="504">
      <formula>AND($AH$96=$AH$97,$AH$96=$BX$97)</formula>
    </cfRule>
    <cfRule type="expression" dxfId="581" priority="505">
      <formula>AND($AH$96=$AH$97,$AH$96=$BW$97)</formula>
    </cfRule>
    <cfRule type="expression" dxfId="580" priority="506">
      <formula>AND($AH$96=$AH$97,$AH$96=$BV$97)</formula>
    </cfRule>
    <cfRule type="expression" dxfId="579" priority="507">
      <formula>AND($AH$96=$AH$97,$AH$96=$BU$97)</formula>
    </cfRule>
    <cfRule type="expression" dxfId="578" priority="508">
      <formula>AND($AH$96=$AH$97,$AH$96=$BT$97)</formula>
    </cfRule>
  </conditionalFormatting>
  <conditionalFormatting sqref="Z96">
    <cfRule type="containsText" dxfId="577" priority="502" operator="containsText" text=":">
      <formula>NOT(ISERROR(SEARCH(":",Z96)))</formula>
    </cfRule>
  </conditionalFormatting>
  <conditionalFormatting sqref="T98">
    <cfRule type="containsText" dxfId="576" priority="496" operator="containsText" text=":">
      <formula>NOT(ISERROR(SEARCH(":",T98)))</formula>
    </cfRule>
  </conditionalFormatting>
  <conditionalFormatting sqref="Y96:AA96 S98:U98">
    <cfRule type="expression" dxfId="575" priority="497">
      <formula>AND($AH$96=$AH$98,$AH$96=$BX$97)</formula>
    </cfRule>
    <cfRule type="expression" dxfId="574" priority="498">
      <formula>AND($AH$96=$AH$98,$AH$96=$BW$97)</formula>
    </cfRule>
    <cfRule type="expression" dxfId="573" priority="499">
      <formula>AND($AH$96=$AH$98,$AH$96=$BV$97)</formula>
    </cfRule>
    <cfRule type="expression" dxfId="572" priority="500">
      <formula>AND($AH$96=$AH$98,$AH$96=$BU$97)</formula>
    </cfRule>
    <cfRule type="expression" dxfId="571" priority="501">
      <formula>AND($AH$96=$AH$98,$AH$96=$BT$97)</formula>
    </cfRule>
  </conditionalFormatting>
  <conditionalFormatting sqref="AC96">
    <cfRule type="containsText" dxfId="570" priority="495" operator="containsText" text=":">
      <formula>NOT(ISERROR(SEARCH(":",AC96)))</formula>
    </cfRule>
  </conditionalFormatting>
  <conditionalFormatting sqref="T99">
    <cfRule type="containsText" dxfId="569" priority="489" operator="containsText" text=":">
      <formula>NOT(ISERROR(SEARCH(":",T99)))</formula>
    </cfRule>
  </conditionalFormatting>
  <conditionalFormatting sqref="AB96:AD96 S99:U99">
    <cfRule type="expression" dxfId="568" priority="490">
      <formula>AND($AH$96=$AH$99,$AH$96=$BX$97)</formula>
    </cfRule>
    <cfRule type="expression" dxfId="567" priority="491">
      <formula>AND($AH$96=$AH$99,$AH$96=$BW$97)</formula>
    </cfRule>
    <cfRule type="expression" dxfId="566" priority="492">
      <formula>AND($AH$96=$AH$99,$AH$96=$BV$97)</formula>
    </cfRule>
    <cfRule type="expression" dxfId="565" priority="493">
      <formula>AND($AH$96=$AH$99,$AH$96=$BU$97)</formula>
    </cfRule>
    <cfRule type="expression" dxfId="564" priority="494">
      <formula>AND($AH$96=$AH$99,$AH$96=$BT$97)</formula>
    </cfRule>
  </conditionalFormatting>
  <conditionalFormatting sqref="Z97">
    <cfRule type="containsText" dxfId="563" priority="488" operator="containsText" text=":">
      <formula>NOT(ISERROR(SEARCH(":",Z97)))</formula>
    </cfRule>
  </conditionalFormatting>
  <conditionalFormatting sqref="W98">
    <cfRule type="containsText" dxfId="562" priority="482" operator="containsText" text=":">
      <formula>NOT(ISERROR(SEARCH(":",W98)))</formula>
    </cfRule>
  </conditionalFormatting>
  <conditionalFormatting sqref="Y97:AA97 V98:X98">
    <cfRule type="expression" dxfId="561" priority="483">
      <formula>AND($AH$97=$AH$98,$AH$97=$BX$97)</formula>
    </cfRule>
    <cfRule type="expression" dxfId="560" priority="484">
      <formula>AND($AH$97=$AH$98,$AH$97=$BW$97)</formula>
    </cfRule>
    <cfRule type="expression" dxfId="559" priority="485">
      <formula>AND($AH$97=$AH$98,$AH$97=$BV$97)</formula>
    </cfRule>
    <cfRule type="expression" dxfId="558" priority="486">
      <formula>AND($AH$97=$AH$98,$AH$97=$BU$97)</formula>
    </cfRule>
    <cfRule type="expression" dxfId="557" priority="487">
      <formula>AND($AH$97=$AH$98,$AH$97=$BT$97)</formula>
    </cfRule>
  </conditionalFormatting>
  <conditionalFormatting sqref="AC97">
    <cfRule type="containsText" dxfId="556" priority="481" operator="containsText" text=":">
      <formula>NOT(ISERROR(SEARCH(":",AC97)))</formula>
    </cfRule>
  </conditionalFormatting>
  <conditionalFormatting sqref="W99">
    <cfRule type="containsText" dxfId="555" priority="475" operator="containsText" text=":">
      <formula>NOT(ISERROR(SEARCH(":",W99)))</formula>
    </cfRule>
  </conditionalFormatting>
  <conditionalFormatting sqref="AB97:AD97 V99:X99">
    <cfRule type="expression" dxfId="554" priority="476">
      <formula>AND($AH$97=$AH$99,$AH$97=$BX$97)</formula>
    </cfRule>
    <cfRule type="expression" dxfId="553" priority="477">
      <formula>AND($AH$97=$AH$99,$AH$97=$BW$97)</formula>
    </cfRule>
    <cfRule type="expression" dxfId="552" priority="478">
      <formula>AND($AH$97=$AH$99,$AH$97=$BV$97)</formula>
    </cfRule>
    <cfRule type="expression" dxfId="551" priority="479">
      <formula>AND($AH$97=$AH$99,$AH$97=$BU$97)</formula>
    </cfRule>
    <cfRule type="expression" dxfId="550" priority="480">
      <formula>AND($AH$97=$AH$99,$AH$97=$BT$97)</formula>
    </cfRule>
  </conditionalFormatting>
  <conditionalFormatting sqref="AC98">
    <cfRule type="containsText" dxfId="549" priority="474" operator="containsText" text=":">
      <formula>NOT(ISERROR(SEARCH(":",AC98)))</formula>
    </cfRule>
  </conditionalFormatting>
  <conditionalFormatting sqref="Z99">
    <cfRule type="containsText" dxfId="548" priority="468" operator="containsText" text=":">
      <formula>NOT(ISERROR(SEARCH(":",Z99)))</formula>
    </cfRule>
  </conditionalFormatting>
  <conditionalFormatting sqref="AB98:AD98 Y99:AA99">
    <cfRule type="expression" dxfId="547" priority="469">
      <formula>AND($AH$98=$AH$99,$AH$98=$BX$97)</formula>
    </cfRule>
    <cfRule type="expression" dxfId="546" priority="470">
      <formula>AND($AH$98=$AH$99,$AH$98=$BW$97)</formula>
    </cfRule>
    <cfRule type="expression" dxfId="545" priority="471">
      <formula>AND($AH$98=$AH$99,$AH$98=$BV$97)</formula>
    </cfRule>
    <cfRule type="expression" dxfId="544" priority="472">
      <formula>AND($AH$98=$AH$99,$AH$98=$BU$97)</formula>
    </cfRule>
    <cfRule type="expression" dxfId="543" priority="473">
      <formula>AND($AH$98=$AH$99,$AH$98=$BT$97)</formula>
    </cfRule>
  </conditionalFormatting>
  <conditionalFormatting sqref="I48">
    <cfRule type="containsText" dxfId="542" priority="458" stopIfTrue="1" operator="containsText" text="ano">
      <formula>NOT(ISERROR(SEARCH("ano",I48)))</formula>
    </cfRule>
  </conditionalFormatting>
  <conditionalFormatting sqref="I40 I42 I44 I46 N40:P40 N42:P42 N44:P44 N46:P46">
    <cfRule type="expression" dxfId="541" priority="460">
      <formula>$I$38=8</formula>
    </cfRule>
    <cfRule type="expression" dxfId="540" priority="466">
      <formula>$I$38=8</formula>
    </cfRule>
  </conditionalFormatting>
  <conditionalFormatting sqref="I40">
    <cfRule type="expression" dxfId="539" priority="465">
      <formula>$I$38=1</formula>
    </cfRule>
  </conditionalFormatting>
  <conditionalFormatting sqref="I40 I42">
    <cfRule type="expression" dxfId="538" priority="464">
      <formula>$I$38=2</formula>
    </cfRule>
  </conditionalFormatting>
  <conditionalFormatting sqref="I40 I42 I44">
    <cfRule type="expression" dxfId="537" priority="463">
      <formula>$I$38=3</formula>
    </cfRule>
  </conditionalFormatting>
  <conditionalFormatting sqref="I40 I42 I44 I46 N40:P40 N42:P42">
    <cfRule type="expression" dxfId="536" priority="461">
      <formula>$I$38=6</formula>
    </cfRule>
  </conditionalFormatting>
  <conditionalFormatting sqref="I40 I42 I44 I46">
    <cfRule type="expression" dxfId="535" priority="462">
      <formula>$I$38=4</formula>
    </cfRule>
  </conditionalFormatting>
  <conditionalFormatting sqref="I51">
    <cfRule type="containsText" dxfId="534" priority="57" operator="containsText" text="ano">
      <formula>NOT(ISERROR(SEARCH("ano",I51)))</formula>
    </cfRule>
  </conditionalFormatting>
  <conditionalFormatting sqref="I48:L48">
    <cfRule type="expression" dxfId="533" priority="467">
      <formula>$I$38&gt;0</formula>
    </cfRule>
  </conditionalFormatting>
  <conditionalFormatting sqref="J40:L40">
    <cfRule type="expression" dxfId="532" priority="28">
      <formula>$AZ$10=0</formula>
    </cfRule>
    <cfRule type="expression" dxfId="531" priority="457">
      <formula>$I$38=1</formula>
    </cfRule>
  </conditionalFormatting>
  <conditionalFormatting sqref="J40:L40 J42:L42">
    <cfRule type="expression" dxfId="530" priority="456">
      <formula>$I$38=2</formula>
    </cfRule>
  </conditionalFormatting>
  <conditionalFormatting sqref="J40:L40 J42:L42 J44:L44">
    <cfRule type="expression" dxfId="529" priority="455">
      <formula>$I$38=3</formula>
    </cfRule>
  </conditionalFormatting>
  <conditionalFormatting sqref="J40:L40 J42:L42 J44:L44 J46:L46">
    <cfRule type="expression" dxfId="528" priority="454">
      <formula>$I$38=4</formula>
    </cfRule>
  </conditionalFormatting>
  <conditionalFormatting sqref="J40:L40 J42:L42 J44:L44 J46:L46 Q40:S40 Q42:S42">
    <cfRule type="expression" dxfId="527" priority="453">
      <formula>$I$38=6</formula>
    </cfRule>
  </conditionalFormatting>
  <conditionalFormatting sqref="J40:L40 J42:L42 J44:L44 J46:L46 Q40:S40 Q42:S42 Q44:S44 Q46:S46">
    <cfRule type="expression" dxfId="526" priority="29">
      <formula>$I$38=8</formula>
    </cfRule>
  </conditionalFormatting>
  <conditionalFormatting sqref="I53">
    <cfRule type="expression" dxfId="525" priority="11" stopIfTrue="1">
      <formula>AND($BT$40=0,$I$51="ANO")</formula>
    </cfRule>
    <cfRule type="expression" dxfId="524" priority="12">
      <formula>AND($BT$42=1,$I$51="ANO")</formula>
    </cfRule>
    <cfRule type="expression" dxfId="523" priority="452">
      <formula>$I$51="ANO"</formula>
    </cfRule>
  </conditionalFormatting>
  <conditionalFormatting sqref="H60:I66 J59:AD59">
    <cfRule type="containsText" dxfId="522" priority="451" operator="containsText" text="nepravda">
      <formula>NOT(ISERROR(SEARCH("nepravda",H59)))</formula>
    </cfRule>
  </conditionalFormatting>
  <conditionalFormatting sqref="H71:I77 J70:AD70 J81:AD81 H82:I88 H93:I99 J92:AD92 J103:AD103 H104:I110 J114:AD114 H115:I121 J125:AD125 H126:I132 J136:AD136 H137:I143">
    <cfRule type="containsText" dxfId="521" priority="450" operator="containsText" text="nepravda">
      <formula>NOT(ISERROR(SEARCH("nepravda",H70)))</formula>
    </cfRule>
  </conditionalFormatting>
  <conditionalFormatting sqref="B60">
    <cfRule type="cellIs" dxfId="520" priority="449" operator="greaterThanOrEqual">
      <formula>3</formula>
    </cfRule>
  </conditionalFormatting>
  <conditionalFormatting sqref="B71">
    <cfRule type="cellIs" dxfId="519" priority="448" operator="greaterThanOrEqual">
      <formula>3</formula>
    </cfRule>
  </conditionalFormatting>
  <conditionalFormatting sqref="B82">
    <cfRule type="cellIs" dxfId="518" priority="447" operator="greaterThanOrEqual">
      <formula>3</formula>
    </cfRule>
  </conditionalFormatting>
  <conditionalFormatting sqref="B93">
    <cfRule type="cellIs" dxfId="517" priority="446" operator="greaterThanOrEqual">
      <formula>3</formula>
    </cfRule>
  </conditionalFormatting>
  <conditionalFormatting sqref="B104">
    <cfRule type="cellIs" dxfId="516" priority="445" operator="greaterThanOrEqual">
      <formula>3</formula>
    </cfRule>
  </conditionalFormatting>
  <conditionalFormatting sqref="B115">
    <cfRule type="cellIs" dxfId="515" priority="444" operator="greaterThanOrEqual">
      <formula>3</formula>
    </cfRule>
  </conditionalFormatting>
  <conditionalFormatting sqref="B126">
    <cfRule type="cellIs" dxfId="514" priority="443" operator="greaterThanOrEqual">
      <formula>3</formula>
    </cfRule>
  </conditionalFormatting>
  <conditionalFormatting sqref="B137">
    <cfRule type="cellIs" dxfId="513" priority="442" operator="greaterThanOrEqual">
      <formula>3</formula>
    </cfRule>
  </conditionalFormatting>
  <conditionalFormatting sqref="D60">
    <cfRule type="expression" dxfId="512" priority="440">
      <formula>$CK$67&gt;0</formula>
    </cfRule>
    <cfRule type="expression" dxfId="511" priority="441">
      <formula>$CK$67=0</formula>
    </cfRule>
  </conditionalFormatting>
  <conditionalFormatting sqref="E60">
    <cfRule type="expression" dxfId="510" priority="438">
      <formula>$CK$67&gt;1</formula>
    </cfRule>
    <cfRule type="expression" dxfId="509" priority="439">
      <formula>$CK$67=1</formula>
    </cfRule>
  </conditionalFormatting>
  <conditionalFormatting sqref="F60">
    <cfRule type="expression" dxfId="508" priority="436">
      <formula>$CK$67=2</formula>
    </cfRule>
    <cfRule type="expression" dxfId="507" priority="437">
      <formula>$CK$67&gt;2</formula>
    </cfRule>
  </conditionalFormatting>
  <conditionalFormatting sqref="D61">
    <cfRule type="expression" dxfId="506" priority="434">
      <formula>$CK$67&gt;3</formula>
    </cfRule>
    <cfRule type="expression" dxfId="505" priority="435">
      <formula>$CK$67=3</formula>
    </cfRule>
  </conditionalFormatting>
  <conditionalFormatting sqref="E61">
    <cfRule type="expression" dxfId="504" priority="432">
      <formula>$CK$67&gt;4</formula>
    </cfRule>
    <cfRule type="expression" dxfId="503" priority="433">
      <formula>$CK$67=4</formula>
    </cfRule>
  </conditionalFormatting>
  <conditionalFormatting sqref="F61">
    <cfRule type="expression" dxfId="502" priority="430">
      <formula>$CK$67&gt;5</formula>
    </cfRule>
    <cfRule type="expression" dxfId="501" priority="431">
      <formula>$CK$67=5</formula>
    </cfRule>
  </conditionalFormatting>
  <conditionalFormatting sqref="D62">
    <cfRule type="expression" dxfId="500" priority="428">
      <formula>$CK$67&gt;6</formula>
    </cfRule>
    <cfRule type="expression" dxfId="499" priority="429">
      <formula>$CK$67=6</formula>
    </cfRule>
  </conditionalFormatting>
  <conditionalFormatting sqref="E62">
    <cfRule type="expression" dxfId="498" priority="426">
      <formula>$CK$67&gt;7</formula>
    </cfRule>
    <cfRule type="expression" dxfId="497" priority="427">
      <formula>$CK$67=7</formula>
    </cfRule>
  </conditionalFormatting>
  <conditionalFormatting sqref="F62">
    <cfRule type="expression" dxfId="496" priority="424">
      <formula>$CK$67&gt;8</formula>
    </cfRule>
    <cfRule type="expression" dxfId="495" priority="425">
      <formula>$CK$67=8</formula>
    </cfRule>
  </conditionalFormatting>
  <conditionalFormatting sqref="D63">
    <cfRule type="expression" dxfId="494" priority="422">
      <formula>$CK$67&gt;9</formula>
    </cfRule>
    <cfRule type="expression" dxfId="493" priority="423">
      <formula>$CK$67=9</formula>
    </cfRule>
  </conditionalFormatting>
  <conditionalFormatting sqref="E63">
    <cfRule type="expression" dxfId="492" priority="420">
      <formula>$CK$67&gt;10</formula>
    </cfRule>
    <cfRule type="expression" dxfId="491" priority="421">
      <formula>$CK$67=10</formula>
    </cfRule>
  </conditionalFormatting>
  <conditionalFormatting sqref="F63">
    <cfRule type="expression" dxfId="490" priority="418">
      <formula>$CK$67&gt;11</formula>
    </cfRule>
    <cfRule type="expression" dxfId="489" priority="419">
      <formula>$CK$67=11</formula>
    </cfRule>
  </conditionalFormatting>
  <conditionalFormatting sqref="D64">
    <cfRule type="expression" dxfId="488" priority="416">
      <formula>$CK$67&gt;12</formula>
    </cfRule>
    <cfRule type="expression" dxfId="487" priority="417">
      <formula>$CK$67=12</formula>
    </cfRule>
  </conditionalFormatting>
  <conditionalFormatting sqref="E64">
    <cfRule type="expression" dxfId="486" priority="414">
      <formula>$CK$67&gt;13</formula>
    </cfRule>
    <cfRule type="expression" dxfId="485" priority="415">
      <formula>$CK$67=13</formula>
    </cfRule>
  </conditionalFormatting>
  <conditionalFormatting sqref="F64">
    <cfRule type="expression" dxfId="484" priority="412">
      <formula>$CK$67&gt;14</formula>
    </cfRule>
    <cfRule type="expression" dxfId="483" priority="413">
      <formula>$CK$67=14</formula>
    </cfRule>
  </conditionalFormatting>
  <conditionalFormatting sqref="D65">
    <cfRule type="expression" dxfId="482" priority="410">
      <formula>$CK$67&gt;15</formula>
    </cfRule>
    <cfRule type="expression" dxfId="481" priority="411">
      <formula>$CK$67=15</formula>
    </cfRule>
  </conditionalFormatting>
  <conditionalFormatting sqref="E65">
    <cfRule type="expression" dxfId="480" priority="408">
      <formula>$CK$67&gt;16</formula>
    </cfRule>
    <cfRule type="expression" dxfId="479" priority="409">
      <formula>$CK$67=16</formula>
    </cfRule>
  </conditionalFormatting>
  <conditionalFormatting sqref="F65">
    <cfRule type="expression" dxfId="478" priority="406">
      <formula>$CK$67&gt;17</formula>
    </cfRule>
    <cfRule type="expression" dxfId="477" priority="407">
      <formula>$CK$67=17</formula>
    </cfRule>
  </conditionalFormatting>
  <conditionalFormatting sqref="D66">
    <cfRule type="expression" dxfId="476" priority="404">
      <formula>$CK$67&gt;18</formula>
    </cfRule>
    <cfRule type="expression" dxfId="475" priority="405">
      <formula>$CK$67=18</formula>
    </cfRule>
  </conditionalFormatting>
  <conditionalFormatting sqref="E66">
    <cfRule type="expression" dxfId="474" priority="402">
      <formula>$CK$67&gt;19</formula>
    </cfRule>
    <cfRule type="expression" dxfId="473" priority="403">
      <formula>$CK$67=19</formula>
    </cfRule>
  </conditionalFormatting>
  <conditionalFormatting sqref="F66">
    <cfRule type="expression" dxfId="472" priority="400">
      <formula>$CK$67&gt;20</formula>
    </cfRule>
    <cfRule type="expression" dxfId="471" priority="401">
      <formula>$CK$67=20</formula>
    </cfRule>
  </conditionalFormatting>
  <conditionalFormatting sqref="D71">
    <cfRule type="expression" dxfId="470" priority="398">
      <formula>$CK$78&gt;0</formula>
    </cfRule>
    <cfRule type="expression" dxfId="469" priority="399">
      <formula>$CK$78=0</formula>
    </cfRule>
  </conditionalFormatting>
  <conditionalFormatting sqref="E71">
    <cfRule type="expression" dxfId="468" priority="396">
      <formula>$CK$78&gt;1</formula>
    </cfRule>
    <cfRule type="expression" dxfId="467" priority="397">
      <formula>$CK$78=1</formula>
    </cfRule>
  </conditionalFormatting>
  <conditionalFormatting sqref="F71">
    <cfRule type="expression" dxfId="466" priority="394">
      <formula>$CK$78=2</formula>
    </cfRule>
    <cfRule type="expression" dxfId="465" priority="395">
      <formula>$CK$78&gt;2</formula>
    </cfRule>
  </conditionalFormatting>
  <conditionalFormatting sqref="D72">
    <cfRule type="expression" dxfId="464" priority="392">
      <formula>$CK$78&gt;3</formula>
    </cfRule>
    <cfRule type="expression" dxfId="463" priority="393">
      <formula>$CK$78=3</formula>
    </cfRule>
  </conditionalFormatting>
  <conditionalFormatting sqref="E72">
    <cfRule type="expression" dxfId="462" priority="390">
      <formula>$CK$78&gt;4</formula>
    </cfRule>
    <cfRule type="expression" dxfId="461" priority="391">
      <formula>$CK$78=4</formula>
    </cfRule>
  </conditionalFormatting>
  <conditionalFormatting sqref="F72">
    <cfRule type="expression" dxfId="460" priority="388">
      <formula>$CK$78&gt;5</formula>
    </cfRule>
    <cfRule type="expression" dxfId="459" priority="389">
      <formula>$CK$78=5</formula>
    </cfRule>
  </conditionalFormatting>
  <conditionalFormatting sqref="D73">
    <cfRule type="expression" dxfId="458" priority="386">
      <formula>$CK$78&gt;6</formula>
    </cfRule>
    <cfRule type="expression" dxfId="457" priority="387">
      <formula>$CK$78=6</formula>
    </cfRule>
  </conditionalFormatting>
  <conditionalFormatting sqref="E73">
    <cfRule type="expression" dxfId="456" priority="384">
      <formula>$CK$78&gt;7</formula>
    </cfRule>
    <cfRule type="expression" dxfId="455" priority="385">
      <formula>$CK$78=7</formula>
    </cfRule>
  </conditionalFormatting>
  <conditionalFormatting sqref="F73">
    <cfRule type="expression" dxfId="454" priority="382">
      <formula>$CK$78&gt;8</formula>
    </cfRule>
    <cfRule type="expression" dxfId="453" priority="383">
      <formula>$CK$78=8</formula>
    </cfRule>
  </conditionalFormatting>
  <conditionalFormatting sqref="D74">
    <cfRule type="expression" dxfId="452" priority="380">
      <formula>$CK$78&gt;9</formula>
    </cfRule>
    <cfRule type="expression" dxfId="451" priority="381">
      <formula>$CK$78=9</formula>
    </cfRule>
  </conditionalFormatting>
  <conditionalFormatting sqref="E74">
    <cfRule type="expression" dxfId="450" priority="378">
      <formula>$CK$78&gt;10</formula>
    </cfRule>
    <cfRule type="expression" dxfId="449" priority="379">
      <formula>$CK$78=10</formula>
    </cfRule>
  </conditionalFormatting>
  <conditionalFormatting sqref="F74">
    <cfRule type="expression" dxfId="448" priority="376">
      <formula>$CK$78&gt;11</formula>
    </cfRule>
    <cfRule type="expression" dxfId="447" priority="377">
      <formula>$CK$78=11</formula>
    </cfRule>
  </conditionalFormatting>
  <conditionalFormatting sqref="D75">
    <cfRule type="expression" dxfId="446" priority="374">
      <formula>$CK$78&gt;12</formula>
    </cfRule>
    <cfRule type="expression" dxfId="445" priority="375">
      <formula>$CK$78=12</formula>
    </cfRule>
  </conditionalFormatting>
  <conditionalFormatting sqref="E75">
    <cfRule type="expression" dxfId="444" priority="372">
      <formula>$CK$78&gt;13</formula>
    </cfRule>
    <cfRule type="expression" dxfId="443" priority="373">
      <formula>$CK$78=13</formula>
    </cfRule>
  </conditionalFormatting>
  <conditionalFormatting sqref="F75">
    <cfRule type="expression" dxfId="442" priority="370">
      <formula>$CK$78&gt;14</formula>
    </cfRule>
    <cfRule type="expression" dxfId="441" priority="371">
      <formula>$CK$78=14</formula>
    </cfRule>
  </conditionalFormatting>
  <conditionalFormatting sqref="D76">
    <cfRule type="expression" dxfId="440" priority="368">
      <formula>$CK$78&gt;15</formula>
    </cfRule>
    <cfRule type="expression" dxfId="439" priority="369">
      <formula>$CK$78=15</formula>
    </cfRule>
  </conditionalFormatting>
  <conditionalFormatting sqref="E76">
    <cfRule type="expression" dxfId="438" priority="366">
      <formula>$CK$78&gt;16</formula>
    </cfRule>
    <cfRule type="expression" dxfId="437" priority="367">
      <formula>$CK$78=16</formula>
    </cfRule>
  </conditionalFormatting>
  <conditionalFormatting sqref="F76">
    <cfRule type="expression" dxfId="436" priority="364">
      <formula>$CK$78&gt;17</formula>
    </cfRule>
    <cfRule type="expression" dxfId="435" priority="365">
      <formula>$CK$78=17</formula>
    </cfRule>
  </conditionalFormatting>
  <conditionalFormatting sqref="D77">
    <cfRule type="expression" dxfId="434" priority="362">
      <formula>$CK$78&gt;18</formula>
    </cfRule>
    <cfRule type="expression" dxfId="433" priority="363">
      <formula>$CK$78=18</formula>
    </cfRule>
  </conditionalFormatting>
  <conditionalFormatting sqref="E77">
    <cfRule type="expression" dxfId="432" priority="360">
      <formula>$CK$78&gt;19</formula>
    </cfRule>
    <cfRule type="expression" dxfId="431" priority="361">
      <formula>$CK$78=19</formula>
    </cfRule>
  </conditionalFormatting>
  <conditionalFormatting sqref="F77">
    <cfRule type="expression" dxfId="430" priority="358">
      <formula>$CK$78&gt;20</formula>
    </cfRule>
    <cfRule type="expression" dxfId="429" priority="359">
      <formula>$CK$78=20</formula>
    </cfRule>
  </conditionalFormatting>
  <conditionalFormatting sqref="D82">
    <cfRule type="expression" dxfId="428" priority="356">
      <formula>$CK$89&gt;0</formula>
    </cfRule>
    <cfRule type="expression" dxfId="427" priority="357">
      <formula>$CK$89=0</formula>
    </cfRule>
  </conditionalFormatting>
  <conditionalFormatting sqref="E82">
    <cfRule type="expression" dxfId="426" priority="354">
      <formula>$CK$89&gt;1</formula>
    </cfRule>
    <cfRule type="expression" dxfId="425" priority="355">
      <formula>$CK$89=1</formula>
    </cfRule>
  </conditionalFormatting>
  <conditionalFormatting sqref="F82">
    <cfRule type="expression" dxfId="424" priority="352">
      <formula>$CK$89=2</formula>
    </cfRule>
    <cfRule type="expression" dxfId="423" priority="353">
      <formula>$CK$89&gt;2</formula>
    </cfRule>
  </conditionalFormatting>
  <conditionalFormatting sqref="D83">
    <cfRule type="expression" dxfId="422" priority="350">
      <formula>$CK$89&gt;3</formula>
    </cfRule>
    <cfRule type="expression" dxfId="421" priority="351">
      <formula>$CK$89=3</formula>
    </cfRule>
  </conditionalFormatting>
  <conditionalFormatting sqref="E83">
    <cfRule type="expression" dxfId="420" priority="348">
      <formula>$CK$89&gt;4</formula>
    </cfRule>
    <cfRule type="expression" dxfId="419" priority="349">
      <formula>$CK$89=4</formula>
    </cfRule>
  </conditionalFormatting>
  <conditionalFormatting sqref="F83">
    <cfRule type="expression" dxfId="418" priority="346">
      <formula>$CK$89&gt;5</formula>
    </cfRule>
    <cfRule type="expression" dxfId="417" priority="347">
      <formula>$CK$89=5</formula>
    </cfRule>
  </conditionalFormatting>
  <conditionalFormatting sqref="D84">
    <cfRule type="expression" dxfId="416" priority="344">
      <formula>$CK$89&gt;6</formula>
    </cfRule>
    <cfRule type="expression" dxfId="415" priority="345">
      <formula>$CK$89=6</formula>
    </cfRule>
  </conditionalFormatting>
  <conditionalFormatting sqref="E84">
    <cfRule type="expression" dxfId="414" priority="342">
      <formula>$CK$89&gt;7</formula>
    </cfRule>
    <cfRule type="expression" dxfId="413" priority="343">
      <formula>$CK$89=7</formula>
    </cfRule>
  </conditionalFormatting>
  <conditionalFormatting sqref="F84">
    <cfRule type="expression" dxfId="412" priority="340">
      <formula>$CK$89&gt;8</formula>
    </cfRule>
    <cfRule type="expression" dxfId="411" priority="341">
      <formula>$CK$89=8</formula>
    </cfRule>
  </conditionalFormatting>
  <conditionalFormatting sqref="D85">
    <cfRule type="expression" dxfId="410" priority="338">
      <formula>$CK$89&gt;9</formula>
    </cfRule>
    <cfRule type="expression" dxfId="409" priority="339">
      <formula>$CK$89=9</formula>
    </cfRule>
  </conditionalFormatting>
  <conditionalFormatting sqref="E85">
    <cfRule type="expression" dxfId="408" priority="336">
      <formula>$CK$89&gt;10</formula>
    </cfRule>
    <cfRule type="expression" dxfId="407" priority="337">
      <formula>$CK$89=10</formula>
    </cfRule>
  </conditionalFormatting>
  <conditionalFormatting sqref="F85">
    <cfRule type="expression" dxfId="406" priority="334">
      <formula>$CK$89&gt;11</formula>
    </cfRule>
    <cfRule type="expression" dxfId="405" priority="335">
      <formula>$CK$89=11</formula>
    </cfRule>
  </conditionalFormatting>
  <conditionalFormatting sqref="D86">
    <cfRule type="expression" dxfId="404" priority="332">
      <formula>$CK$89&gt;12</formula>
    </cfRule>
    <cfRule type="expression" dxfId="403" priority="333">
      <formula>$CK$89=12</formula>
    </cfRule>
  </conditionalFormatting>
  <conditionalFormatting sqref="E86">
    <cfRule type="expression" dxfId="402" priority="330">
      <formula>$CK$89&gt;13</formula>
    </cfRule>
    <cfRule type="expression" dxfId="401" priority="331">
      <formula>$CK$89=13</formula>
    </cfRule>
  </conditionalFormatting>
  <conditionalFormatting sqref="F86">
    <cfRule type="expression" dxfId="400" priority="328">
      <formula>$CK$89&gt;14</formula>
    </cfRule>
    <cfRule type="expression" dxfId="399" priority="329">
      <formula>$CK$89=14</formula>
    </cfRule>
  </conditionalFormatting>
  <conditionalFormatting sqref="D87">
    <cfRule type="expression" dxfId="398" priority="326">
      <formula>$CK$89&gt;15</formula>
    </cfRule>
    <cfRule type="expression" dxfId="397" priority="327">
      <formula>$CK$89=15</formula>
    </cfRule>
  </conditionalFormatting>
  <conditionalFormatting sqref="E87">
    <cfRule type="expression" dxfId="396" priority="324">
      <formula>$CK$89&gt;16</formula>
    </cfRule>
    <cfRule type="expression" dxfId="395" priority="325">
      <formula>$CK$89=16</formula>
    </cfRule>
  </conditionalFormatting>
  <conditionalFormatting sqref="F87">
    <cfRule type="expression" dxfId="394" priority="322">
      <formula>$CK$89&gt;17</formula>
    </cfRule>
    <cfRule type="expression" dxfId="393" priority="323">
      <formula>$CK$89=17</formula>
    </cfRule>
  </conditionalFormatting>
  <conditionalFormatting sqref="D88">
    <cfRule type="expression" dxfId="392" priority="320">
      <formula>$CK$89&gt;18</formula>
    </cfRule>
    <cfRule type="expression" dxfId="391" priority="321">
      <formula>$CK$89=18</formula>
    </cfRule>
  </conditionalFormatting>
  <conditionalFormatting sqref="E88">
    <cfRule type="expression" dxfId="390" priority="318">
      <formula>$CK$89&gt;19</formula>
    </cfRule>
    <cfRule type="expression" dxfId="389" priority="319">
      <formula>$CK$89=19</formula>
    </cfRule>
  </conditionalFormatting>
  <conditionalFormatting sqref="F88">
    <cfRule type="expression" dxfId="388" priority="316">
      <formula>$CK$89&gt;20</formula>
    </cfRule>
    <cfRule type="expression" dxfId="387" priority="317">
      <formula>$CK$89=20</formula>
    </cfRule>
  </conditionalFormatting>
  <conditionalFormatting sqref="D93">
    <cfRule type="expression" dxfId="386" priority="314">
      <formula>$CK$100&gt;0</formula>
    </cfRule>
    <cfRule type="expression" dxfId="385" priority="315">
      <formula>$CK$100=0</formula>
    </cfRule>
  </conditionalFormatting>
  <conditionalFormatting sqref="E93">
    <cfRule type="expression" dxfId="384" priority="312">
      <formula>$CK$100&gt;1</formula>
    </cfRule>
    <cfRule type="expression" dxfId="383" priority="313">
      <formula>$CK$100=1</formula>
    </cfRule>
  </conditionalFormatting>
  <conditionalFormatting sqref="F93">
    <cfRule type="expression" dxfId="382" priority="310">
      <formula>$CK$100=2</formula>
    </cfRule>
    <cfRule type="expression" dxfId="381" priority="311">
      <formula>$CK$100&gt;2</formula>
    </cfRule>
  </conditionalFormatting>
  <conditionalFormatting sqref="D94">
    <cfRule type="expression" dxfId="380" priority="308">
      <formula>$CK$100&gt;3</formula>
    </cfRule>
    <cfRule type="expression" dxfId="379" priority="309">
      <formula>$CK$100=3</formula>
    </cfRule>
  </conditionalFormatting>
  <conditionalFormatting sqref="E94">
    <cfRule type="expression" dxfId="378" priority="306">
      <formula>$CK$100&gt;4</formula>
    </cfRule>
    <cfRule type="expression" dxfId="377" priority="307">
      <formula>$CK$100=4</formula>
    </cfRule>
  </conditionalFormatting>
  <conditionalFormatting sqref="F94">
    <cfRule type="expression" dxfId="376" priority="304">
      <formula>$CK$100&gt;5</formula>
    </cfRule>
    <cfRule type="expression" dxfId="375" priority="305">
      <formula>$CK$100=5</formula>
    </cfRule>
  </conditionalFormatting>
  <conditionalFormatting sqref="D95">
    <cfRule type="expression" dxfId="374" priority="302">
      <formula>$CK$100&gt;6</formula>
    </cfRule>
    <cfRule type="expression" dxfId="373" priority="303">
      <formula>$CK$100=6</formula>
    </cfRule>
  </conditionalFormatting>
  <conditionalFormatting sqref="E95">
    <cfRule type="expression" dxfId="372" priority="300">
      <formula>$CK$100&gt;7</formula>
    </cfRule>
    <cfRule type="expression" dxfId="371" priority="301">
      <formula>$CK$100=7</formula>
    </cfRule>
  </conditionalFormatting>
  <conditionalFormatting sqref="F95">
    <cfRule type="expression" dxfId="370" priority="298">
      <formula>$CK$100&gt;8</formula>
    </cfRule>
    <cfRule type="expression" dxfId="369" priority="299">
      <formula>$CK$100=8</formula>
    </cfRule>
  </conditionalFormatting>
  <conditionalFormatting sqref="D96">
    <cfRule type="expression" dxfId="368" priority="296">
      <formula>$CK$100&gt;9</formula>
    </cfRule>
    <cfRule type="expression" dxfId="367" priority="297">
      <formula>$CK$100=9</formula>
    </cfRule>
  </conditionalFormatting>
  <conditionalFormatting sqref="E96">
    <cfRule type="expression" dxfId="366" priority="294">
      <formula>$CK$100&gt;10</formula>
    </cfRule>
    <cfRule type="expression" dxfId="365" priority="295">
      <formula>$CK$100=10</formula>
    </cfRule>
  </conditionalFormatting>
  <conditionalFormatting sqref="F96">
    <cfRule type="expression" dxfId="364" priority="292">
      <formula>$CK$100&gt;11</formula>
    </cfRule>
    <cfRule type="expression" dxfId="363" priority="293">
      <formula>$CK$100=11</formula>
    </cfRule>
  </conditionalFormatting>
  <conditionalFormatting sqref="D97">
    <cfRule type="expression" dxfId="362" priority="290">
      <formula>$CK$100&gt;12</formula>
    </cfRule>
    <cfRule type="expression" dxfId="361" priority="291">
      <formula>$CK$100=12</formula>
    </cfRule>
  </conditionalFormatting>
  <conditionalFormatting sqref="E97">
    <cfRule type="expression" dxfId="360" priority="288">
      <formula>$CK$100&gt;13</formula>
    </cfRule>
    <cfRule type="expression" dxfId="359" priority="289">
      <formula>$CK$100=13</formula>
    </cfRule>
  </conditionalFormatting>
  <conditionalFormatting sqref="F97">
    <cfRule type="expression" dxfId="358" priority="286">
      <formula>$CK$100&gt;14</formula>
    </cfRule>
    <cfRule type="expression" dxfId="357" priority="287">
      <formula>$CK$100=14</formula>
    </cfRule>
  </conditionalFormatting>
  <conditionalFormatting sqref="D98">
    <cfRule type="expression" dxfId="356" priority="284">
      <formula>$CK$100&gt;15</formula>
    </cfRule>
    <cfRule type="expression" dxfId="355" priority="285">
      <formula>$CK$100=15</formula>
    </cfRule>
  </conditionalFormatting>
  <conditionalFormatting sqref="E98">
    <cfRule type="expression" dxfId="354" priority="282">
      <formula>$CK$100&gt;16</formula>
    </cfRule>
    <cfRule type="expression" dxfId="353" priority="283">
      <formula>$CK$100=16</formula>
    </cfRule>
  </conditionalFormatting>
  <conditionalFormatting sqref="F98">
    <cfRule type="expression" dxfId="352" priority="280">
      <formula>$CK$100&gt;17</formula>
    </cfRule>
    <cfRule type="expression" dxfId="351" priority="281">
      <formula>$CK$100=17</formula>
    </cfRule>
  </conditionalFormatting>
  <conditionalFormatting sqref="D99">
    <cfRule type="expression" dxfId="350" priority="278">
      <formula>$CK$100&gt;18</formula>
    </cfRule>
    <cfRule type="expression" dxfId="349" priority="279">
      <formula>$CK$100=18</formula>
    </cfRule>
  </conditionalFormatting>
  <conditionalFormatting sqref="E99">
    <cfRule type="expression" dxfId="348" priority="276">
      <formula>$CK$100&gt;19</formula>
    </cfRule>
    <cfRule type="expression" dxfId="347" priority="277">
      <formula>$CK$100=19</formula>
    </cfRule>
  </conditionalFormatting>
  <conditionalFormatting sqref="F99">
    <cfRule type="expression" dxfId="346" priority="274">
      <formula>$CK$100&gt;20</formula>
    </cfRule>
    <cfRule type="expression" dxfId="345" priority="275">
      <formula>$CK$100=20</formula>
    </cfRule>
  </conditionalFormatting>
  <conditionalFormatting sqref="D104">
    <cfRule type="expression" dxfId="344" priority="272">
      <formula>$CK$111&gt;0</formula>
    </cfRule>
    <cfRule type="expression" dxfId="343" priority="273">
      <formula>$CK$111=0</formula>
    </cfRule>
  </conditionalFormatting>
  <conditionalFormatting sqref="E104">
    <cfRule type="expression" dxfId="342" priority="270">
      <formula>$CK$111&gt;1</formula>
    </cfRule>
    <cfRule type="expression" dxfId="341" priority="271">
      <formula>$CK$111=1</formula>
    </cfRule>
  </conditionalFormatting>
  <conditionalFormatting sqref="F104">
    <cfRule type="expression" dxfId="340" priority="268">
      <formula>$CK$111=2</formula>
    </cfRule>
    <cfRule type="expression" dxfId="339" priority="269">
      <formula>$CK$111&gt;2</formula>
    </cfRule>
  </conditionalFormatting>
  <conditionalFormatting sqref="D105">
    <cfRule type="expression" dxfId="338" priority="266">
      <formula>$CK$111&gt;3</formula>
    </cfRule>
    <cfRule type="expression" dxfId="337" priority="267">
      <formula>$CK$111=3</formula>
    </cfRule>
  </conditionalFormatting>
  <conditionalFormatting sqref="E105">
    <cfRule type="expression" dxfId="336" priority="264">
      <formula>$CK$111&gt;4</formula>
    </cfRule>
    <cfRule type="expression" dxfId="335" priority="265">
      <formula>$CK$111=4</formula>
    </cfRule>
  </conditionalFormatting>
  <conditionalFormatting sqref="F105">
    <cfRule type="expression" dxfId="334" priority="262">
      <formula>$CK$111&gt;5</formula>
    </cfRule>
    <cfRule type="expression" dxfId="333" priority="263">
      <formula>$CK$111=5</formula>
    </cfRule>
  </conditionalFormatting>
  <conditionalFormatting sqref="D106">
    <cfRule type="expression" dxfId="332" priority="260">
      <formula>$CK$111&gt;6</formula>
    </cfRule>
    <cfRule type="expression" dxfId="331" priority="261">
      <formula>$CK$111=6</formula>
    </cfRule>
  </conditionalFormatting>
  <conditionalFormatting sqref="E106">
    <cfRule type="expression" dxfId="330" priority="258">
      <formula>$CK$111&gt;7</formula>
    </cfRule>
    <cfRule type="expression" dxfId="329" priority="259">
      <formula>$CK$111=7</formula>
    </cfRule>
  </conditionalFormatting>
  <conditionalFormatting sqref="F106">
    <cfRule type="expression" dxfId="328" priority="256">
      <formula>$CK$111&gt;8</formula>
    </cfRule>
    <cfRule type="expression" dxfId="327" priority="257">
      <formula>$CK$111=8</formula>
    </cfRule>
  </conditionalFormatting>
  <conditionalFormatting sqref="D107">
    <cfRule type="expression" dxfId="326" priority="254">
      <formula>$CK$111&gt;9</formula>
    </cfRule>
    <cfRule type="expression" dxfId="325" priority="255">
      <formula>$CK$111=9</formula>
    </cfRule>
  </conditionalFormatting>
  <conditionalFormatting sqref="E107">
    <cfRule type="expression" dxfId="324" priority="252">
      <formula>$CK$111&gt;10</formula>
    </cfRule>
    <cfRule type="expression" dxfId="323" priority="253">
      <formula>$CK$111=10</formula>
    </cfRule>
  </conditionalFormatting>
  <conditionalFormatting sqref="F107">
    <cfRule type="expression" dxfId="322" priority="250">
      <formula>$CK$111&gt;11</formula>
    </cfRule>
    <cfRule type="expression" dxfId="321" priority="251">
      <formula>$CK$111=11</formula>
    </cfRule>
  </conditionalFormatting>
  <conditionalFormatting sqref="D108">
    <cfRule type="expression" dxfId="320" priority="248">
      <formula>$CK$111&gt;12</formula>
    </cfRule>
    <cfRule type="expression" dxfId="319" priority="249">
      <formula>$CK$111=12</formula>
    </cfRule>
  </conditionalFormatting>
  <conditionalFormatting sqref="E108">
    <cfRule type="expression" dxfId="318" priority="246">
      <formula>$CK$111&gt;13</formula>
    </cfRule>
    <cfRule type="expression" dxfId="317" priority="247">
      <formula>$CK$111=13</formula>
    </cfRule>
  </conditionalFormatting>
  <conditionalFormatting sqref="F108">
    <cfRule type="expression" dxfId="316" priority="244">
      <formula>$CK$111&gt;14</formula>
    </cfRule>
    <cfRule type="expression" dxfId="315" priority="245">
      <formula>$CK$111=14</formula>
    </cfRule>
  </conditionalFormatting>
  <conditionalFormatting sqref="D109">
    <cfRule type="expression" dxfId="314" priority="242">
      <formula>$CK$111&gt;15</formula>
    </cfRule>
    <cfRule type="expression" dxfId="313" priority="243">
      <formula>$CK$111=15</formula>
    </cfRule>
  </conditionalFormatting>
  <conditionalFormatting sqref="E109">
    <cfRule type="expression" dxfId="312" priority="240">
      <formula>$CK$111&gt;16</formula>
    </cfRule>
    <cfRule type="expression" dxfId="311" priority="241">
      <formula>$CK$111=16</formula>
    </cfRule>
  </conditionalFormatting>
  <conditionalFormatting sqref="F109">
    <cfRule type="expression" dxfId="310" priority="238">
      <formula>$CK$111&gt;17</formula>
    </cfRule>
    <cfRule type="expression" dxfId="309" priority="239">
      <formula>$CK$111=17</formula>
    </cfRule>
  </conditionalFormatting>
  <conditionalFormatting sqref="D110">
    <cfRule type="expression" dxfId="308" priority="236">
      <formula>$CK$111&gt;18</formula>
    </cfRule>
    <cfRule type="expression" dxfId="307" priority="237">
      <formula>$CK$111=18</formula>
    </cfRule>
  </conditionalFormatting>
  <conditionalFormatting sqref="E110">
    <cfRule type="expression" dxfId="306" priority="234">
      <formula>$CK$111&gt;19</formula>
    </cfRule>
    <cfRule type="expression" dxfId="305" priority="235">
      <formula>$CK$111=19</formula>
    </cfRule>
  </conditionalFormatting>
  <conditionalFormatting sqref="F110">
    <cfRule type="expression" dxfId="304" priority="232">
      <formula>$CK$111&gt;20</formula>
    </cfRule>
    <cfRule type="expression" dxfId="303" priority="233">
      <formula>$CK$111=20</formula>
    </cfRule>
  </conditionalFormatting>
  <conditionalFormatting sqref="D115">
    <cfRule type="expression" dxfId="302" priority="230">
      <formula>$CK$122&gt;0</formula>
    </cfRule>
    <cfRule type="expression" dxfId="301" priority="231">
      <formula>$CK$122=0</formula>
    </cfRule>
  </conditionalFormatting>
  <conditionalFormatting sqref="E115">
    <cfRule type="expression" dxfId="300" priority="228">
      <formula>$CK$122&gt;1</formula>
    </cfRule>
    <cfRule type="expression" dxfId="299" priority="229">
      <formula>$CK$122=1</formula>
    </cfRule>
  </conditionalFormatting>
  <conditionalFormatting sqref="F115">
    <cfRule type="expression" dxfId="298" priority="226">
      <formula>$CK$122=2</formula>
    </cfRule>
    <cfRule type="expression" dxfId="297" priority="227">
      <formula>$CK$122&gt;2</formula>
    </cfRule>
  </conditionalFormatting>
  <conditionalFormatting sqref="D116">
    <cfRule type="expression" dxfId="296" priority="224">
      <formula>$CK$122&gt;3</formula>
    </cfRule>
    <cfRule type="expression" dxfId="295" priority="225">
      <formula>$CK$122=3</formula>
    </cfRule>
  </conditionalFormatting>
  <conditionalFormatting sqref="E116">
    <cfRule type="expression" dxfId="294" priority="222">
      <formula>$CK$122&gt;4</formula>
    </cfRule>
    <cfRule type="expression" dxfId="293" priority="223">
      <formula>$CK$122=4</formula>
    </cfRule>
  </conditionalFormatting>
  <conditionalFormatting sqref="F116">
    <cfRule type="expression" dxfId="292" priority="220">
      <formula>$CK$122&gt;5</formula>
    </cfRule>
    <cfRule type="expression" dxfId="291" priority="221">
      <formula>$CK$122=5</formula>
    </cfRule>
  </conditionalFormatting>
  <conditionalFormatting sqref="D117">
    <cfRule type="expression" dxfId="290" priority="218">
      <formula>$CK$122&gt;6</formula>
    </cfRule>
    <cfRule type="expression" dxfId="289" priority="219">
      <formula>$CK$122=6</formula>
    </cfRule>
  </conditionalFormatting>
  <conditionalFormatting sqref="E117">
    <cfRule type="expression" dxfId="288" priority="216">
      <formula>$CK$122&gt;7</formula>
    </cfRule>
    <cfRule type="expression" dxfId="287" priority="217">
      <formula>$CK$122=7</formula>
    </cfRule>
  </conditionalFormatting>
  <conditionalFormatting sqref="F117">
    <cfRule type="expression" dxfId="286" priority="214">
      <formula>$CK$122&gt;8</formula>
    </cfRule>
    <cfRule type="expression" dxfId="285" priority="215">
      <formula>$CK$122=8</formula>
    </cfRule>
  </conditionalFormatting>
  <conditionalFormatting sqref="D118">
    <cfRule type="expression" dxfId="284" priority="212">
      <formula>$CK$122&gt;9</formula>
    </cfRule>
    <cfRule type="expression" dxfId="283" priority="213">
      <formula>$CK$122=9</formula>
    </cfRule>
  </conditionalFormatting>
  <conditionalFormatting sqref="E118">
    <cfRule type="expression" dxfId="282" priority="210">
      <formula>$CK$122&gt;10</formula>
    </cfRule>
    <cfRule type="expression" dxfId="281" priority="211">
      <formula>$CK$122=10</formula>
    </cfRule>
  </conditionalFormatting>
  <conditionalFormatting sqref="F118">
    <cfRule type="expression" dxfId="280" priority="208">
      <formula>$CK$122&gt;11</formula>
    </cfRule>
    <cfRule type="expression" dxfId="279" priority="209">
      <formula>$CK$122=11</formula>
    </cfRule>
  </conditionalFormatting>
  <conditionalFormatting sqref="D119">
    <cfRule type="expression" dxfId="278" priority="206">
      <formula>$CK$122&gt;12</formula>
    </cfRule>
    <cfRule type="expression" dxfId="277" priority="207">
      <formula>$CK$122=12</formula>
    </cfRule>
  </conditionalFormatting>
  <conditionalFormatting sqref="E119">
    <cfRule type="expression" dxfId="276" priority="204">
      <formula>$CK$122&gt;13</formula>
    </cfRule>
    <cfRule type="expression" dxfId="275" priority="205">
      <formula>$CK$122=13</formula>
    </cfRule>
  </conditionalFormatting>
  <conditionalFormatting sqref="F119">
    <cfRule type="expression" dxfId="274" priority="202">
      <formula>$CK$122&gt;14</formula>
    </cfRule>
    <cfRule type="expression" dxfId="273" priority="203">
      <formula>$CK$122=14</formula>
    </cfRule>
  </conditionalFormatting>
  <conditionalFormatting sqref="D120">
    <cfRule type="expression" dxfId="272" priority="200">
      <formula>$CK$122&gt;15</formula>
    </cfRule>
    <cfRule type="expression" dxfId="271" priority="201">
      <formula>$CK$122=15</formula>
    </cfRule>
  </conditionalFormatting>
  <conditionalFormatting sqref="E120">
    <cfRule type="expression" dxfId="270" priority="198">
      <formula>$CK$122&gt;16</formula>
    </cfRule>
    <cfRule type="expression" dxfId="269" priority="199">
      <formula>$CK$122=16</formula>
    </cfRule>
  </conditionalFormatting>
  <conditionalFormatting sqref="F120">
    <cfRule type="expression" dxfId="268" priority="196">
      <formula>$CK$122&gt;17</formula>
    </cfRule>
    <cfRule type="expression" dxfId="267" priority="197">
      <formula>$CK$122=17</formula>
    </cfRule>
  </conditionalFormatting>
  <conditionalFormatting sqref="D121">
    <cfRule type="expression" dxfId="266" priority="194">
      <formula>$CK$122&gt;18</formula>
    </cfRule>
    <cfRule type="expression" dxfId="265" priority="195">
      <formula>$CK$122=18</formula>
    </cfRule>
  </conditionalFormatting>
  <conditionalFormatting sqref="E121">
    <cfRule type="expression" dxfId="264" priority="192">
      <formula>$CK$122&gt;19</formula>
    </cfRule>
    <cfRule type="expression" dxfId="263" priority="193">
      <formula>$CK$122=19</formula>
    </cfRule>
  </conditionalFormatting>
  <conditionalFormatting sqref="F121">
    <cfRule type="expression" dxfId="262" priority="190">
      <formula>$CK$122&gt;20</formula>
    </cfRule>
    <cfRule type="expression" dxfId="261" priority="191">
      <formula>$CK$122=20</formula>
    </cfRule>
  </conditionalFormatting>
  <conditionalFormatting sqref="D126">
    <cfRule type="expression" dxfId="260" priority="188">
      <formula>$CK$133&gt;0</formula>
    </cfRule>
    <cfRule type="expression" dxfId="259" priority="189">
      <formula>$CK$133=0</formula>
    </cfRule>
  </conditionalFormatting>
  <conditionalFormatting sqref="E126">
    <cfRule type="expression" dxfId="258" priority="186">
      <formula>$CK$133&gt;1</formula>
    </cfRule>
    <cfRule type="expression" dxfId="257" priority="187">
      <formula>$CK$133=1</formula>
    </cfRule>
  </conditionalFormatting>
  <conditionalFormatting sqref="F126">
    <cfRule type="expression" dxfId="256" priority="184">
      <formula>$CK$133=2</formula>
    </cfRule>
    <cfRule type="expression" dxfId="255" priority="185">
      <formula>$CK$133&gt;2</formula>
    </cfRule>
  </conditionalFormatting>
  <conditionalFormatting sqref="D127">
    <cfRule type="expression" dxfId="254" priority="182">
      <formula>$CK$133&gt;3</formula>
    </cfRule>
    <cfRule type="expression" dxfId="253" priority="183">
      <formula>$CK$133=3</formula>
    </cfRule>
  </conditionalFormatting>
  <conditionalFormatting sqref="E127">
    <cfRule type="expression" dxfId="252" priority="180">
      <formula>$CK$133&gt;4</formula>
    </cfRule>
    <cfRule type="expression" dxfId="251" priority="181">
      <formula>$CK$133=4</formula>
    </cfRule>
  </conditionalFormatting>
  <conditionalFormatting sqref="F127">
    <cfRule type="expression" dxfId="250" priority="178">
      <formula>$CK$133&gt;5</formula>
    </cfRule>
    <cfRule type="expression" dxfId="249" priority="179">
      <formula>$CK$133=5</formula>
    </cfRule>
  </conditionalFormatting>
  <conditionalFormatting sqref="D128">
    <cfRule type="expression" dxfId="248" priority="176">
      <formula>$CK$133&gt;6</formula>
    </cfRule>
    <cfRule type="expression" dxfId="247" priority="177">
      <formula>$CK$133=6</formula>
    </cfRule>
  </conditionalFormatting>
  <conditionalFormatting sqref="E128">
    <cfRule type="expression" dxfId="246" priority="174">
      <formula>$CK$133&gt;7</formula>
    </cfRule>
    <cfRule type="expression" dxfId="245" priority="175">
      <formula>$CK$133=7</formula>
    </cfRule>
  </conditionalFormatting>
  <conditionalFormatting sqref="F128">
    <cfRule type="expression" dxfId="244" priority="172">
      <formula>$CK$133&gt;8</formula>
    </cfRule>
    <cfRule type="expression" dxfId="243" priority="173">
      <formula>$CK$133=8</formula>
    </cfRule>
  </conditionalFormatting>
  <conditionalFormatting sqref="D129">
    <cfRule type="expression" dxfId="242" priority="170">
      <formula>$CK$133&gt;9</formula>
    </cfRule>
    <cfRule type="expression" dxfId="241" priority="171">
      <formula>$CK$133=9</formula>
    </cfRule>
  </conditionalFormatting>
  <conditionalFormatting sqref="E129">
    <cfRule type="expression" dxfId="240" priority="168">
      <formula>$CK$133&gt;10</formula>
    </cfRule>
    <cfRule type="expression" dxfId="239" priority="169">
      <formula>$CK$133=10</formula>
    </cfRule>
  </conditionalFormatting>
  <conditionalFormatting sqref="F129">
    <cfRule type="expression" dxfId="238" priority="166">
      <formula>$CK$133&gt;11</formula>
    </cfRule>
    <cfRule type="expression" dxfId="237" priority="167">
      <formula>$CK$133=11</formula>
    </cfRule>
  </conditionalFormatting>
  <conditionalFormatting sqref="D130">
    <cfRule type="expression" dxfId="236" priority="164">
      <formula>$CK$133&gt;12</formula>
    </cfRule>
    <cfRule type="expression" dxfId="235" priority="165">
      <formula>$CK$133=12</formula>
    </cfRule>
  </conditionalFormatting>
  <conditionalFormatting sqref="E130">
    <cfRule type="expression" dxfId="234" priority="162">
      <formula>$CK$133&gt;13</formula>
    </cfRule>
    <cfRule type="expression" dxfId="233" priority="163">
      <formula>$CK$133=13</formula>
    </cfRule>
  </conditionalFormatting>
  <conditionalFormatting sqref="F130">
    <cfRule type="expression" dxfId="232" priority="160">
      <formula>$CK$133&gt;14</formula>
    </cfRule>
    <cfRule type="expression" dxfId="231" priority="161">
      <formula>$CK$133=14</formula>
    </cfRule>
  </conditionalFormatting>
  <conditionalFormatting sqref="D131">
    <cfRule type="expression" dxfId="230" priority="158">
      <formula>$CK$133&gt;15</formula>
    </cfRule>
    <cfRule type="expression" dxfId="229" priority="159">
      <formula>$CK$133=15</formula>
    </cfRule>
  </conditionalFormatting>
  <conditionalFormatting sqref="E131">
    <cfRule type="expression" dxfId="228" priority="156">
      <formula>$CK$133&gt;16</formula>
    </cfRule>
    <cfRule type="expression" dxfId="227" priority="157">
      <formula>$CK$133=16</formula>
    </cfRule>
  </conditionalFormatting>
  <conditionalFormatting sqref="F131">
    <cfRule type="expression" dxfId="226" priority="154">
      <formula>$CK$133&gt;17</formula>
    </cfRule>
    <cfRule type="expression" dxfId="225" priority="155">
      <formula>$CK$133=17</formula>
    </cfRule>
  </conditionalFormatting>
  <conditionalFormatting sqref="D132">
    <cfRule type="expression" dxfId="224" priority="152">
      <formula>$CK$133&gt;18</formula>
    </cfRule>
    <cfRule type="expression" dxfId="223" priority="153">
      <formula>$CK$133=18</formula>
    </cfRule>
  </conditionalFormatting>
  <conditionalFormatting sqref="E132">
    <cfRule type="expression" dxfId="222" priority="150">
      <formula>$CK$133&gt;19</formula>
    </cfRule>
    <cfRule type="expression" dxfId="221" priority="151">
      <formula>$CK$133=19</formula>
    </cfRule>
  </conditionalFormatting>
  <conditionalFormatting sqref="F132">
    <cfRule type="expression" dxfId="220" priority="148">
      <formula>$CK$133&gt;20</formula>
    </cfRule>
    <cfRule type="expression" dxfId="219" priority="149">
      <formula>$CK$133=20</formula>
    </cfRule>
  </conditionalFormatting>
  <conditionalFormatting sqref="D137">
    <cfRule type="expression" dxfId="218" priority="146">
      <formula>$CK$144&gt;0</formula>
    </cfRule>
    <cfRule type="expression" dxfId="217" priority="147">
      <formula>$CK$144=0</formula>
    </cfRule>
  </conditionalFormatting>
  <conditionalFormatting sqref="E137">
    <cfRule type="expression" dxfId="216" priority="144">
      <formula>$CK$144&gt;1</formula>
    </cfRule>
    <cfRule type="expression" dxfId="215" priority="145">
      <formula>$CK$144=1</formula>
    </cfRule>
  </conditionalFormatting>
  <conditionalFormatting sqref="F137">
    <cfRule type="expression" dxfId="214" priority="142">
      <formula>$CK$144=2</formula>
    </cfRule>
    <cfRule type="expression" dxfId="213" priority="143">
      <formula>$CK$144&gt;2</formula>
    </cfRule>
  </conditionalFormatting>
  <conditionalFormatting sqref="D138">
    <cfRule type="expression" dxfId="212" priority="140">
      <formula>$CK$144&gt;3</formula>
    </cfRule>
    <cfRule type="expression" dxfId="211" priority="141">
      <formula>$CK$144=3</formula>
    </cfRule>
  </conditionalFormatting>
  <conditionalFormatting sqref="E138">
    <cfRule type="expression" dxfId="210" priority="138">
      <formula>$CK$144&gt;4</formula>
    </cfRule>
    <cfRule type="expression" dxfId="209" priority="139">
      <formula>$CK$144=4</formula>
    </cfRule>
  </conditionalFormatting>
  <conditionalFormatting sqref="F138">
    <cfRule type="expression" dxfId="208" priority="136">
      <formula>$CK$144&gt;5</formula>
    </cfRule>
    <cfRule type="expression" dxfId="207" priority="137">
      <formula>$CK$144=5</formula>
    </cfRule>
  </conditionalFormatting>
  <conditionalFormatting sqref="D139">
    <cfRule type="expression" dxfId="206" priority="134">
      <formula>$CK$144&gt;6</formula>
    </cfRule>
    <cfRule type="expression" dxfId="205" priority="135">
      <formula>$CK$144=6</formula>
    </cfRule>
  </conditionalFormatting>
  <conditionalFormatting sqref="E139">
    <cfRule type="expression" dxfId="204" priority="132">
      <formula>$CK$144&gt;7</formula>
    </cfRule>
    <cfRule type="expression" dxfId="203" priority="133">
      <formula>$CK$144=7</formula>
    </cfRule>
  </conditionalFormatting>
  <conditionalFormatting sqref="F139">
    <cfRule type="expression" dxfId="202" priority="130">
      <formula>$CK$144&gt;8</formula>
    </cfRule>
    <cfRule type="expression" dxfId="201" priority="131">
      <formula>$CK$144=8</formula>
    </cfRule>
  </conditionalFormatting>
  <conditionalFormatting sqref="D140">
    <cfRule type="expression" dxfId="200" priority="128">
      <formula>$CK$144&gt;9</formula>
    </cfRule>
    <cfRule type="expression" dxfId="199" priority="129">
      <formula>$CK$144=9</formula>
    </cfRule>
  </conditionalFormatting>
  <conditionalFormatting sqref="E140">
    <cfRule type="expression" dxfId="198" priority="126">
      <formula>$CK$144&gt;10</formula>
    </cfRule>
    <cfRule type="expression" dxfId="197" priority="127">
      <formula>$CK$144=10</formula>
    </cfRule>
  </conditionalFormatting>
  <conditionalFormatting sqref="F140">
    <cfRule type="expression" dxfId="196" priority="124">
      <formula>$CK$144&gt;11</formula>
    </cfRule>
    <cfRule type="expression" dxfId="195" priority="125">
      <formula>$CK$144=11</formula>
    </cfRule>
  </conditionalFormatting>
  <conditionalFormatting sqref="D141">
    <cfRule type="expression" dxfId="194" priority="122">
      <formula>$CK$144&gt;12</formula>
    </cfRule>
    <cfRule type="expression" dxfId="193" priority="123">
      <formula>$CK$144=12</formula>
    </cfRule>
  </conditionalFormatting>
  <conditionalFormatting sqref="E141">
    <cfRule type="expression" dxfId="192" priority="120">
      <formula>$CK$144&gt;13</formula>
    </cfRule>
    <cfRule type="expression" dxfId="191" priority="121">
      <formula>$CK$144=13</formula>
    </cfRule>
  </conditionalFormatting>
  <conditionalFormatting sqref="F141">
    <cfRule type="expression" dxfId="190" priority="118">
      <formula>$CK$144&gt;14</formula>
    </cfRule>
    <cfRule type="expression" dxfId="189" priority="119">
      <formula>$CK$144=14</formula>
    </cfRule>
  </conditionalFormatting>
  <conditionalFormatting sqref="D142">
    <cfRule type="expression" dxfId="188" priority="116">
      <formula>$CK$144&gt;15</formula>
    </cfRule>
    <cfRule type="expression" dxfId="187" priority="117">
      <formula>$CK$144=15</formula>
    </cfRule>
  </conditionalFormatting>
  <conditionalFormatting sqref="E142">
    <cfRule type="expression" dxfId="186" priority="114">
      <formula>$CK$144&gt;16</formula>
    </cfRule>
    <cfRule type="expression" dxfId="185" priority="115">
      <formula>$CK$144=16</formula>
    </cfRule>
  </conditionalFormatting>
  <conditionalFormatting sqref="F142">
    <cfRule type="expression" dxfId="184" priority="112">
      <formula>$CK$144&gt;17</formula>
    </cfRule>
    <cfRule type="expression" dxfId="183" priority="113">
      <formula>$CK$144=17</formula>
    </cfRule>
  </conditionalFormatting>
  <conditionalFormatting sqref="D143">
    <cfRule type="expression" dxfId="182" priority="110">
      <formula>$CK$144&gt;18</formula>
    </cfRule>
    <cfRule type="expression" dxfId="181" priority="111">
      <formula>$CK$144=18</formula>
    </cfRule>
  </conditionalFormatting>
  <conditionalFormatting sqref="E143">
    <cfRule type="expression" dxfId="180" priority="108">
      <formula>$CK$144&gt;19</formula>
    </cfRule>
    <cfRule type="expression" dxfId="179" priority="109">
      <formula>$CK$144=19</formula>
    </cfRule>
  </conditionalFormatting>
  <conditionalFormatting sqref="F143">
    <cfRule type="expression" dxfId="178" priority="106">
      <formula>$CK$144&gt;20</formula>
    </cfRule>
    <cfRule type="expression" dxfId="177" priority="107">
      <formula>$CK$144=20</formula>
    </cfRule>
  </conditionalFormatting>
  <conditionalFormatting sqref="G60:G62">
    <cfRule type="expression" dxfId="176" priority="105">
      <formula>$B$60&gt;2</formula>
    </cfRule>
  </conditionalFormatting>
  <conditionalFormatting sqref="G63">
    <cfRule type="expression" dxfId="175" priority="104">
      <formula>$B$60&gt;3</formula>
    </cfRule>
  </conditionalFormatting>
  <conditionalFormatting sqref="G64">
    <cfRule type="expression" dxfId="174" priority="103">
      <formula>$B$60&gt;4</formula>
    </cfRule>
  </conditionalFormatting>
  <conditionalFormatting sqref="G65">
    <cfRule type="expression" dxfId="173" priority="102">
      <formula>$B$60&gt;5</formula>
    </cfRule>
  </conditionalFormatting>
  <conditionalFormatting sqref="G66">
    <cfRule type="expression" dxfId="172" priority="101">
      <formula>$B$60&gt;6</formula>
    </cfRule>
  </conditionalFormatting>
  <conditionalFormatting sqref="G71:G73">
    <cfRule type="expression" dxfId="171" priority="100">
      <formula>$B$71&gt;2</formula>
    </cfRule>
  </conditionalFormatting>
  <conditionalFormatting sqref="G74">
    <cfRule type="expression" dxfId="170" priority="99">
      <formula>$B$71&gt;3</formula>
    </cfRule>
  </conditionalFormatting>
  <conditionalFormatting sqref="G75">
    <cfRule type="expression" dxfId="169" priority="98">
      <formula>$B$71&gt;4</formula>
    </cfRule>
  </conditionalFormatting>
  <conditionalFormatting sqref="G76">
    <cfRule type="expression" dxfId="168" priority="97">
      <formula>$B$71&gt;5</formula>
    </cfRule>
  </conditionalFormatting>
  <conditionalFormatting sqref="G77">
    <cfRule type="expression" dxfId="167" priority="96">
      <formula>$B$71&gt;6</formula>
    </cfRule>
  </conditionalFormatting>
  <conditionalFormatting sqref="G82:G84">
    <cfRule type="expression" dxfId="166" priority="95">
      <formula>$B$82&gt;2</formula>
    </cfRule>
  </conditionalFormatting>
  <conditionalFormatting sqref="G85">
    <cfRule type="expression" dxfId="165" priority="94">
      <formula>$B$82&gt;3</formula>
    </cfRule>
  </conditionalFormatting>
  <conditionalFormatting sqref="G86">
    <cfRule type="expression" dxfId="164" priority="93">
      <formula>$B$82&gt;4</formula>
    </cfRule>
  </conditionalFormatting>
  <conditionalFormatting sqref="G87">
    <cfRule type="expression" dxfId="163" priority="92">
      <formula>$B$82&gt;5</formula>
    </cfRule>
  </conditionalFormatting>
  <conditionalFormatting sqref="G88">
    <cfRule type="expression" dxfId="162" priority="91">
      <formula>$B$82&gt;6</formula>
    </cfRule>
  </conditionalFormatting>
  <conditionalFormatting sqref="G93:G95">
    <cfRule type="expression" dxfId="161" priority="90">
      <formula>$B$93&gt;2</formula>
    </cfRule>
  </conditionalFormatting>
  <conditionalFormatting sqref="G96">
    <cfRule type="expression" dxfId="160" priority="89">
      <formula>$B$93&gt;3</formula>
    </cfRule>
  </conditionalFormatting>
  <conditionalFormatting sqref="G97">
    <cfRule type="expression" dxfId="159" priority="88">
      <formula>$B$93&gt;4</formula>
    </cfRule>
  </conditionalFormatting>
  <conditionalFormatting sqref="G98">
    <cfRule type="expression" dxfId="158" priority="87">
      <formula>$B$93&gt;5</formula>
    </cfRule>
  </conditionalFormatting>
  <conditionalFormatting sqref="G99">
    <cfRule type="expression" dxfId="157" priority="86">
      <formula>$B$93&gt;6</formula>
    </cfRule>
  </conditionalFormatting>
  <conditionalFormatting sqref="G104:G106">
    <cfRule type="expression" dxfId="156" priority="85">
      <formula>$B$104&gt;2</formula>
    </cfRule>
  </conditionalFormatting>
  <conditionalFormatting sqref="G107">
    <cfRule type="expression" dxfId="155" priority="84">
      <formula>$B$104&gt;3</formula>
    </cfRule>
  </conditionalFormatting>
  <conditionalFormatting sqref="G108">
    <cfRule type="expression" dxfId="154" priority="83">
      <formula>$B$104&gt;4</formula>
    </cfRule>
  </conditionalFormatting>
  <conditionalFormatting sqref="G109">
    <cfRule type="expression" dxfId="153" priority="82">
      <formula>$B$104&gt;5</formula>
    </cfRule>
  </conditionalFormatting>
  <conditionalFormatting sqref="G110">
    <cfRule type="expression" dxfId="152" priority="81">
      <formula>$B$104&gt;6</formula>
    </cfRule>
  </conditionalFormatting>
  <conditionalFormatting sqref="G115:G117">
    <cfRule type="expression" dxfId="151" priority="80">
      <formula>$B$115&gt;2</formula>
    </cfRule>
  </conditionalFormatting>
  <conditionalFormatting sqref="G118">
    <cfRule type="expression" dxfId="150" priority="79">
      <formula>$B$115&gt;3</formula>
    </cfRule>
  </conditionalFormatting>
  <conditionalFormatting sqref="G119">
    <cfRule type="expression" dxfId="149" priority="78">
      <formula>$B$115&gt;4</formula>
    </cfRule>
  </conditionalFormatting>
  <conditionalFormatting sqref="G120">
    <cfRule type="expression" dxfId="148" priority="77">
      <formula>$B$115&gt;5</formula>
    </cfRule>
  </conditionalFormatting>
  <conditionalFormatting sqref="G121">
    <cfRule type="expression" dxfId="147" priority="76">
      <formula>$B$115&gt;6</formula>
    </cfRule>
  </conditionalFormatting>
  <conditionalFormatting sqref="G126:G128">
    <cfRule type="expression" dxfId="146" priority="75">
      <formula>$B$126&gt;2</formula>
    </cfRule>
  </conditionalFormatting>
  <conditionalFormatting sqref="G129">
    <cfRule type="expression" dxfId="145" priority="74">
      <formula>$B$126&gt;3</formula>
    </cfRule>
  </conditionalFormatting>
  <conditionalFormatting sqref="G130">
    <cfRule type="expression" dxfId="144" priority="73">
      <formula>$B$126&gt;4</formula>
    </cfRule>
  </conditionalFormatting>
  <conditionalFormatting sqref="G131">
    <cfRule type="expression" dxfId="143" priority="72">
      <formula>$B$126&gt;5</formula>
    </cfRule>
  </conditionalFormatting>
  <conditionalFormatting sqref="G132">
    <cfRule type="expression" dxfId="142" priority="71">
      <formula>$B$126&gt;6</formula>
    </cfRule>
  </conditionalFormatting>
  <conditionalFormatting sqref="G137:G139">
    <cfRule type="expression" dxfId="141" priority="70">
      <formula>$B$137&gt;2</formula>
    </cfRule>
  </conditionalFormatting>
  <conditionalFormatting sqref="G140">
    <cfRule type="expression" dxfId="140" priority="69">
      <formula>$B$137&gt;3</formula>
    </cfRule>
  </conditionalFormatting>
  <conditionalFormatting sqref="G141">
    <cfRule type="expression" dxfId="139" priority="68">
      <formula>$B$137&gt;4</formula>
    </cfRule>
  </conditionalFormatting>
  <conditionalFormatting sqref="G142">
    <cfRule type="expression" dxfId="138" priority="67">
      <formula>$B$137&gt;5</formula>
    </cfRule>
  </conditionalFormatting>
  <conditionalFormatting sqref="G143">
    <cfRule type="expression" dxfId="137" priority="66">
      <formula>$B$137&gt;6</formula>
    </cfRule>
  </conditionalFormatting>
  <conditionalFormatting sqref="AP151:AP152">
    <cfRule type="expression" dxfId="136" priority="65">
      <formula>OR($BQ$40=33,$BQ$40=36)</formula>
    </cfRule>
  </conditionalFormatting>
  <conditionalFormatting sqref="AP155:AP156">
    <cfRule type="expression" dxfId="135" priority="64">
      <formula>OR($BQ$40=33,$BQ$40=36)</formula>
    </cfRule>
  </conditionalFormatting>
  <conditionalFormatting sqref="AP159:AP160">
    <cfRule type="expression" dxfId="134" priority="54">
      <formula>OR($BQ$40=33,$BQ$40=36)</formula>
    </cfRule>
  </conditionalFormatting>
  <conditionalFormatting sqref="E22">
    <cfRule type="containsText" dxfId="133" priority="3" stopIfTrue="1" operator="containsText" text="ano">
      <formula>NOT(ISERROR(SEARCH("ano",E22)))</formula>
    </cfRule>
    <cfRule type="expression" dxfId="132" priority="62">
      <formula>$I$34&gt;0</formula>
    </cfRule>
  </conditionalFormatting>
  <conditionalFormatting sqref="E25">
    <cfRule type="expression" dxfId="131" priority="61">
      <formula>$E$22="ano"</formula>
    </cfRule>
  </conditionalFormatting>
  <conditionalFormatting sqref="AN5:AN32 S5:U32">
    <cfRule type="cellIs" dxfId="130" priority="51" operator="lessThanOrEqual">
      <formula>$I$36</formula>
    </cfRule>
    <cfRule type="duplicateValues" dxfId="129" priority="60"/>
  </conditionalFormatting>
  <conditionalFormatting sqref="G222:K249 AA222:AK249">
    <cfRule type="containsText" dxfId="128" priority="31" operator="containsText" text="nepravda">
      <formula>NOT(ISERROR(SEARCH("nepravda",G222)))</formula>
    </cfRule>
    <cfRule type="cellIs" dxfId="127" priority="32" operator="equal">
      <formula>0</formula>
    </cfRule>
    <cfRule type="containsErrors" dxfId="126" priority="59">
      <formula>ISERROR(G222)</formula>
    </cfRule>
  </conditionalFormatting>
  <conditionalFormatting sqref="A2 F5 A8 A11 A14 A17 A22 G36 G38 G40 G48 G51 G53 G55 E55 A148 E221">
    <cfRule type="expression" dxfId="125" priority="58">
      <formula>$B$2=$AY$5</formula>
    </cfRule>
  </conditionalFormatting>
  <conditionalFormatting sqref="I51:L51">
    <cfRule type="expression" dxfId="124" priority="459">
      <formula>$I$38&gt;0</formula>
    </cfRule>
  </conditionalFormatting>
  <conditionalFormatting sqref="I55:L55">
    <cfRule type="containsText" dxfId="123" priority="55" operator="containsText" text="ano">
      <formula>NOT(ISERROR(SEARCH("ano",I55)))</formula>
    </cfRule>
    <cfRule type="expression" dxfId="122" priority="56">
      <formula>$I$53&lt;&gt;$AY$28</formula>
    </cfRule>
  </conditionalFormatting>
  <conditionalFormatting sqref="AP151:AP152 AP155:AP156 AP159:AP160">
    <cfRule type="expression" dxfId="121" priority="52">
      <formula>(AND($BQ$40=36,$DG$154&gt;0))</formula>
    </cfRule>
    <cfRule type="expression" dxfId="120" priority="53">
      <formula>(AND($BQ$40=33,$DG$154&gt;0))</formula>
    </cfRule>
  </conditionalFormatting>
  <conditionalFormatting sqref="AP203:AP204 AP207:AP208 AP211:AP212">
    <cfRule type="expression" dxfId="119" priority="1936">
      <formula>(AND($BQ$40=36,$DG$159&gt;0))</formula>
    </cfRule>
    <cfRule type="expression" dxfId="118" priority="1937">
      <formula>$BQ$40=36</formula>
    </cfRule>
  </conditionalFormatting>
  <conditionalFormatting sqref="T116">
    <cfRule type="containsText" dxfId="117" priority="50" operator="containsText" text=":">
      <formula>NOT(ISERROR(SEARCH(":",T116)))</formula>
    </cfRule>
  </conditionalFormatting>
  <conditionalFormatting sqref="T116">
    <cfRule type="expression" dxfId="116" priority="45">
      <formula>AND($AH$116=$AH$118,$AH$116=$BX$119)</formula>
    </cfRule>
    <cfRule type="expression" dxfId="115" priority="46">
      <formula>AND($AH$116=$AH$118,$AH$116=$BW$119)</formula>
    </cfRule>
    <cfRule type="expression" dxfId="114" priority="47">
      <formula>AND($AH$116=$AH$118,$AH$116=$BV$119)</formula>
    </cfRule>
    <cfRule type="expression" dxfId="113" priority="48">
      <formula>AND($AH$116=$AH$118,$AH$116=$BU$119)</formula>
    </cfRule>
    <cfRule type="expression" dxfId="112" priority="49">
      <formula>AND($AH$116=$AH$118,$AH$116=$BT$119)</formula>
    </cfRule>
  </conditionalFormatting>
  <conditionalFormatting sqref="T117">
    <cfRule type="containsText" dxfId="111" priority="44" operator="containsText" text=":">
      <formula>NOT(ISERROR(SEARCH(":",T117)))</formula>
    </cfRule>
  </conditionalFormatting>
  <conditionalFormatting sqref="T117">
    <cfRule type="expression" dxfId="110" priority="39">
      <formula>AND($AH$117=$AH$118,$AH$117=$BX$119)</formula>
    </cfRule>
    <cfRule type="expression" dxfId="109" priority="40">
      <formula>AND($AH$117=$AH$118,$AH$117=$BW$119)</formula>
    </cfRule>
    <cfRule type="expression" dxfId="108" priority="41">
      <formula>AND($AH$117=$AH$118,$AH$117=$BV$119)</formula>
    </cfRule>
    <cfRule type="expression" dxfId="107" priority="42">
      <formula>AND($AH$117=$AH$118,$AH$117=$BU$119)</formula>
    </cfRule>
    <cfRule type="expression" dxfId="106" priority="43">
      <formula>AND($AH$117=$AH$118,$AH$117=$BT$119)</formula>
    </cfRule>
  </conditionalFormatting>
  <conditionalFormatting sqref="V42:AL44">
    <cfRule type="containsErrors" dxfId="105" priority="33">
      <formula>ISERROR(V42)</formula>
    </cfRule>
    <cfRule type="expression" dxfId="104" priority="38">
      <formula>$BL$22&gt;0</formula>
    </cfRule>
  </conditionalFormatting>
  <conditionalFormatting sqref="E222">
    <cfRule type="cellIs" dxfId="103" priority="37" operator="lessThanOrEqual">
      <formula>$CP$61</formula>
    </cfRule>
  </conditionalFormatting>
  <conditionalFormatting sqref="E223:E249">
    <cfRule type="cellIs" dxfId="102" priority="36" operator="lessThanOrEqual">
      <formula>$CP$61</formula>
    </cfRule>
  </conditionalFormatting>
  <conditionalFormatting sqref="AP222">
    <cfRule type="cellIs" dxfId="101" priority="35" operator="lessThanOrEqual">
      <formula>$CP$61</formula>
    </cfRule>
  </conditionalFormatting>
  <conditionalFormatting sqref="AP223:AP249">
    <cfRule type="cellIs" dxfId="100" priority="34" operator="lessThanOrEqual">
      <formula>$CP$61</formula>
    </cfRule>
  </conditionalFormatting>
  <conditionalFormatting sqref="L222:O249 AL222:AM249">
    <cfRule type="cellIs" dxfId="99" priority="30" operator="equal">
      <formula>0</formula>
    </cfRule>
    <cfRule type="containsErrors" dxfId="98" priority="63">
      <formula>ISERROR(L222)</formula>
    </cfRule>
  </conditionalFormatting>
  <conditionalFormatting sqref="J42:L42">
    <cfRule type="expression" dxfId="97" priority="27">
      <formula>$AZ$11=0</formula>
    </cfRule>
  </conditionalFormatting>
  <conditionalFormatting sqref="J44:L44">
    <cfRule type="expression" dxfId="96" priority="26">
      <formula>$AZ$12=0</formula>
    </cfRule>
  </conditionalFormatting>
  <conditionalFormatting sqref="J46:L46">
    <cfRule type="expression" dxfId="95" priority="25">
      <formula>$AZ$13=0</formula>
    </cfRule>
  </conditionalFormatting>
  <conditionalFormatting sqref="Q40:S40">
    <cfRule type="expression" dxfId="94" priority="24">
      <formula>$BD$10=0</formula>
    </cfRule>
  </conditionalFormatting>
  <conditionalFormatting sqref="Q42:S42">
    <cfRule type="expression" dxfId="93" priority="23">
      <formula>$BD$11=0</formula>
    </cfRule>
  </conditionalFormatting>
  <conditionalFormatting sqref="Q44:S44">
    <cfRule type="expression" dxfId="92" priority="22">
      <formula>$BD$12=0</formula>
    </cfRule>
  </conditionalFormatting>
  <conditionalFormatting sqref="Q46:S46">
    <cfRule type="expression" dxfId="91" priority="21">
      <formula>$BD$13=0</formula>
    </cfRule>
  </conditionalFormatting>
  <conditionalFormatting sqref="D251">
    <cfRule type="expression" dxfId="90" priority="20">
      <formula>$B$2=$AY$5</formula>
    </cfRule>
  </conditionalFormatting>
  <conditionalFormatting sqref="F251:AO264">
    <cfRule type="expression" dxfId="89" priority="19">
      <formula>$B$2=$AY$5</formula>
    </cfRule>
  </conditionalFormatting>
  <conditionalFormatting sqref="V40:AM40">
    <cfRule type="containsErrors" dxfId="88" priority="10">
      <formula>ISERROR(V40)</formula>
    </cfRule>
    <cfRule type="expression" dxfId="87" priority="18">
      <formula>$BV$11=0</formula>
    </cfRule>
  </conditionalFormatting>
  <conditionalFormatting sqref="L148:AI148">
    <cfRule type="expression" priority="14" stopIfTrue="1">
      <formula>AND($BT$40=0,$I$51="ANO")</formula>
    </cfRule>
    <cfRule type="expression" dxfId="86" priority="15">
      <formula>AND($BT$42=1,$I$51="ANO")</formula>
    </cfRule>
  </conditionalFormatting>
  <conditionalFormatting sqref="A1">
    <cfRule type="expression" dxfId="85" priority="13">
      <formula>$B$2=$AY$5</formula>
    </cfRule>
  </conditionalFormatting>
  <conditionalFormatting sqref="O55:AM55">
    <cfRule type="expression" priority="16" stopIfTrue="1">
      <formula>AND($BT$40=0,$I$51="ANO")</formula>
    </cfRule>
    <cfRule type="expression" dxfId="84" priority="17">
      <formula>AND($BT$42=1,$I$51="ANO")</formula>
    </cfRule>
  </conditionalFormatting>
  <conditionalFormatting sqref="F148:I148">
    <cfRule type="expression" dxfId="83" priority="7" stopIfTrue="1">
      <formula>AND($BT$40=0,$I$51="ANO")</formula>
    </cfRule>
    <cfRule type="expression" dxfId="82" priority="8">
      <formula>AND($BT$42=1,$I$51="ANO")</formula>
    </cfRule>
    <cfRule type="expression" dxfId="81" priority="9">
      <formula>$I$51="ANO"</formula>
    </cfRule>
  </conditionalFormatting>
  <conditionalFormatting sqref="I36:L36">
    <cfRule type="expression" dxfId="80" priority="6">
      <formula>$I$34&gt;0</formula>
    </cfRule>
  </conditionalFormatting>
  <conditionalFormatting sqref="I38:L38">
    <cfRule type="expression" dxfId="79" priority="5">
      <formula>$I$34&gt;0</formula>
    </cfRule>
  </conditionalFormatting>
  <conditionalFormatting sqref="I34:L34">
    <cfRule type="cellIs" dxfId="78" priority="4" operator="greaterThan">
      <formula>0</formula>
    </cfRule>
  </conditionalFormatting>
  <conditionalFormatting sqref="E23">
    <cfRule type="expression" dxfId="77" priority="2">
      <formula>$I$34&gt;0</formula>
    </cfRule>
  </conditionalFormatting>
  <conditionalFormatting sqref="E24">
    <cfRule type="expression" dxfId="76" priority="1">
      <formula>$I$34&gt;0</formula>
    </cfRule>
  </conditionalFormatting>
  <dataValidations count="10">
    <dataValidation type="custom" allowBlank="1" showInputMessage="1" showErrorMessage="1" errorTitle="Počet nasazených hráčů" error="Povolené hodnoty jsou:_x000a_0, 2, 4, 8, 16." sqref="I36:L36" xr:uid="{680EF255-E66E-40CB-AC69-1B5B84EE3C97}">
      <formula1>OR(I36=0,OR(I36=2,OR(I36=4,OR(I36=8,OR(I36=16)))))</formula1>
    </dataValidation>
    <dataValidation type="custom" allowBlank="1" showInputMessage="1" showErrorMessage="1" errorTitle="Počet hráčů ve skupinách" error="Povolené hodnoty jsou:_x000a_0, 3, 4, 5, 6, 7" sqref="J44:L44" xr:uid="{B753E852-D33F-4A73-B426-1F29AABC45CE}">
      <formula1>OR(J44=0,OR(J44=3,OR(J44=4,OR(J44=5,OR(J44=6,OR(J44=7))))))</formula1>
    </dataValidation>
    <dataValidation type="custom" allowBlank="1" showInputMessage="1" showErrorMessage="1" errorTitle="Počet hráčů ve skupinách" error="Povolené hodnoty jsou:_x000a_0, 3, 4, 5, 6, 7." sqref="J40:L40 J42:L42 J46:L46 Q40:S40 Q42:S42 Q44:S44 Q46:S46" xr:uid="{3DECCFED-00D5-43C1-84A7-D4898F0943E6}">
      <formula1>OR(J40=0,OR(J40=3,OR(J40=4,OR(J40=5,OR(J40=6,OR(J40=7))))))</formula1>
    </dataValidation>
    <dataValidation type="list" errorStyle="information" allowBlank="1" showInputMessage="1" showErrorMessage="1" errorTitle="Návod" error="Nepište příkaz přímo! Vyberte jej z rozevíracího seznamu." sqref="B2:E2" xr:uid="{F1C2B0F8-B1C7-4A8C-B55B-2FE25DB512DB}">
      <formula1>$AY$4:$AY$5</formula1>
    </dataValidation>
    <dataValidation type="custom" allowBlank="1" showInputMessage="1" showErrorMessage="1" errorTitle="Počet skupin" error="Povolené hodnoty jsou:_x000a_0, 1, 2, 3, 4, 6, 8" sqref="I38:L38" xr:uid="{A77F4C4F-A453-4641-B9E9-99D3E0B1D17B}">
      <formula1>OR(I38=0,OR(I38=1,OR(I38=2,OR(I38=3,OR(I38=4,OR(I38=6,OR(I38=8)))))))</formula1>
    </dataValidation>
    <dataValidation type="list" allowBlank="1" showInputMessage="1" showErrorMessage="1" errorTitle="Typ pavouka" error="Nepište příkaz přímo! Vyberte jej z rozevíracího seznamu." sqref="I53" xr:uid="{75B9B694-D9E7-43C5-A006-338BDF40978A}">
      <formula1>$AY$28:$AY$38</formula1>
    </dataValidation>
    <dataValidation type="list" allowBlank="1" showInputMessage="1" showErrorMessage="1" errorTitle="Typ turnaje" error="Nepište příkaz přímo! Vyberte jej z rozevíracího seznamu." sqref="B17:E17" xr:uid="{C70716C9-DDDF-418D-8A4F-C8672448FB10}">
      <formula1>$BG$37:$BG$39</formula1>
    </dataValidation>
    <dataValidation type="list" allowBlank="1" showInputMessage="1" showErrorMessage="1" errorTitle="Pořadí v baráži" error="Nepište číslo přímo! Vyberte jej z rozevíracího seznamu." sqref="AP151:AP152 AP155:AP156 AP159:AP160 AP203:AP204 AP207:AP208 AP211:AP212" xr:uid="{A82E77BE-3FFA-487B-8060-48C41FB08FFA}">
      <formula1>$DC$150:$DC$153</formula1>
    </dataValidation>
    <dataValidation type="whole" allowBlank="1" showErrorMessage="1" errorTitle="Los" error="Číslo nesmí být vyšší než je počet přihlášených hráčů!" sqref="AN5:AN32 S5:U32" xr:uid="{16FE7A2B-5586-4AFD-B7E9-911F53076979}">
      <formula1>1</formula1>
      <formula2>$I$34</formula2>
    </dataValidation>
    <dataValidation type="list" allowBlank="1" showInputMessage="1" showErrorMessage="1" errorTitle="Potvrdit volbu" error="Nepište příkaz přímo! Vyberte jej z rozevíracího seznamu." sqref="I48:L48 I51:L51 I55:L55 E22" xr:uid="{9FC3D11B-76D7-482A-B4B1-849C3D557F14}">
      <formula1>$AW$39:$AW$40</formula1>
    </dataValidation>
  </dataValidations>
  <pageMargins left="0.70866141732283472" right="0.70866141732283472" top="0.78740157480314965" bottom="0.78740157480314965" header="0.31496062992125984" footer="0.31496062992125984"/>
  <pageSetup paperSize="9" scale="22" fitToHeight="2" orientation="portrait" r:id="rId1"/>
  <headerFooter>
    <oddFooter>&amp;C&amp;14http://steeldartsprerov.czweb.org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4D57-B66B-4D2E-8CA7-F94EEE2B3F4A}">
  <sheetPr>
    <tabColor rgb="FF92D050"/>
  </sheetPr>
  <dimension ref="B1:W215"/>
  <sheetViews>
    <sheetView showGridLines="0" showRowColHeaders="0" zoomScale="60" zoomScaleNormal="60" workbookViewId="0">
      <selection activeCell="AD141" sqref="AD141"/>
    </sheetView>
  </sheetViews>
  <sheetFormatPr defaultRowHeight="14.6" x14ac:dyDescent="0.4"/>
  <cols>
    <col min="1" max="1" width="3.3046875" customWidth="1"/>
    <col min="2" max="2" width="4" customWidth="1"/>
    <col min="3" max="3" width="33.53515625" customWidth="1"/>
    <col min="5" max="5" width="3.53515625" customWidth="1"/>
    <col min="6" max="6" width="33.53515625" customWidth="1"/>
    <col min="7" max="7" width="9" customWidth="1"/>
    <col min="8" max="8" width="3.53515625" customWidth="1"/>
    <col min="9" max="9" width="33.53515625" customWidth="1"/>
    <col min="11" max="11" width="3.53515625" customWidth="1"/>
    <col min="13" max="13" width="33.53515625" customWidth="1"/>
    <col min="15" max="15" width="4" customWidth="1"/>
    <col min="17" max="17" width="9.23046875" style="108"/>
  </cols>
  <sheetData>
    <row r="1" spans="2:23" ht="18.45" x14ac:dyDescent="0.5">
      <c r="C1" s="131"/>
      <c r="D1" s="130"/>
      <c r="E1" s="130"/>
      <c r="F1" s="133"/>
      <c r="G1" s="130"/>
      <c r="H1" s="130"/>
      <c r="I1" s="130"/>
      <c r="J1" s="14"/>
      <c r="K1" s="14"/>
      <c r="L1" s="14"/>
      <c r="M1" s="14"/>
      <c r="N1" s="130"/>
      <c r="O1" s="134"/>
    </row>
    <row r="2" spans="2:23" ht="27" customHeight="1" x14ac:dyDescent="0.55000000000000004">
      <c r="B2" s="230"/>
      <c r="C2" s="259" t="s">
        <v>224</v>
      </c>
      <c r="D2" s="231"/>
      <c r="E2" s="231"/>
      <c r="F2" s="232"/>
      <c r="G2" s="231"/>
      <c r="H2" s="231"/>
      <c r="I2" s="231"/>
      <c r="J2" s="154"/>
      <c r="K2" s="154"/>
      <c r="L2" s="154"/>
      <c r="M2" s="154"/>
      <c r="N2" s="467"/>
      <c r="O2" s="468"/>
    </row>
    <row r="3" spans="2:23" ht="18.649999999999999" customHeight="1" x14ac:dyDescent="0.5">
      <c r="B3" s="233"/>
      <c r="C3" s="469" t="str">
        <f>vzor_A!H153</f>
        <v/>
      </c>
      <c r="D3" s="470" t="str">
        <f>IF(vzor_A!J153="","",vzor_A!J153)</f>
        <v/>
      </c>
      <c r="E3" s="229"/>
      <c r="F3" s="141"/>
      <c r="G3" s="130"/>
      <c r="H3" s="130"/>
      <c r="I3" s="130"/>
      <c r="J3" s="133"/>
      <c r="K3" s="133"/>
      <c r="L3" s="471">
        <f>vzor_A!$B$8</f>
        <v>0</v>
      </c>
      <c r="M3" s="472"/>
      <c r="N3" s="473"/>
      <c r="O3" s="234"/>
      <c r="Q3" s="502" t="s">
        <v>291</v>
      </c>
      <c r="R3" s="503"/>
      <c r="S3" s="503"/>
      <c r="T3" s="503"/>
      <c r="U3" s="503"/>
      <c r="V3" s="503"/>
      <c r="W3" s="504"/>
    </row>
    <row r="4" spans="2:23" ht="18.649999999999999" customHeight="1" x14ac:dyDescent="0.55000000000000004">
      <c r="B4" s="233"/>
      <c r="C4" s="469"/>
      <c r="D4" s="470"/>
      <c r="E4" s="229"/>
      <c r="F4" s="255" t="s">
        <v>224</v>
      </c>
      <c r="G4" s="130"/>
      <c r="H4" s="130"/>
      <c r="I4" s="130"/>
      <c r="J4" s="133"/>
      <c r="K4" s="133"/>
      <c r="L4" s="474"/>
      <c r="M4" s="475"/>
      <c r="N4" s="476"/>
      <c r="O4" s="234"/>
      <c r="Q4" s="505"/>
      <c r="R4" s="506"/>
      <c r="S4" s="506"/>
      <c r="T4" s="506"/>
      <c r="U4" s="506"/>
      <c r="V4" s="506"/>
      <c r="W4" s="507"/>
    </row>
    <row r="5" spans="2:23" ht="18.649999999999999" customHeight="1" x14ac:dyDescent="0.5">
      <c r="B5" s="233"/>
      <c r="C5" s="252">
        <f>vzor_A!H155</f>
        <v>0</v>
      </c>
      <c r="D5" s="244"/>
      <c r="E5" s="246"/>
      <c r="F5" s="469" t="str">
        <f>vzor_A!N157</f>
        <v/>
      </c>
      <c r="G5" s="477" t="str">
        <f>IF(vzor_A!AE157="","",vzor_A!AE157)</f>
        <v/>
      </c>
      <c r="H5" s="229"/>
      <c r="I5" s="130"/>
      <c r="J5" s="133"/>
      <c r="K5" s="133"/>
      <c r="L5" s="479">
        <f>vzor_A!$B$14</f>
        <v>0</v>
      </c>
      <c r="M5" s="480"/>
      <c r="N5" s="481"/>
      <c r="O5" s="234"/>
      <c r="Q5" s="505"/>
      <c r="R5" s="506"/>
      <c r="S5" s="506"/>
      <c r="T5" s="506"/>
      <c r="U5" s="506"/>
      <c r="V5" s="506"/>
      <c r="W5" s="507"/>
    </row>
    <row r="6" spans="2:23" ht="18.649999999999999" customHeight="1" x14ac:dyDescent="0.5">
      <c r="B6" s="233"/>
      <c r="C6" s="130"/>
      <c r="D6" s="245"/>
      <c r="E6" s="130"/>
      <c r="F6" s="469"/>
      <c r="G6" s="478"/>
      <c r="H6" s="229"/>
      <c r="I6" s="130"/>
      <c r="J6" s="133"/>
      <c r="K6" s="133"/>
      <c r="L6" s="482"/>
      <c r="M6" s="483"/>
      <c r="N6" s="484"/>
      <c r="O6" s="234"/>
      <c r="Q6" s="508"/>
      <c r="R6" s="509"/>
      <c r="S6" s="509"/>
      <c r="T6" s="509"/>
      <c r="U6" s="509"/>
      <c r="V6" s="509"/>
      <c r="W6" s="510"/>
    </row>
    <row r="7" spans="2:23" ht="18.649999999999999" customHeight="1" x14ac:dyDescent="0.55000000000000004">
      <c r="B7" s="233"/>
      <c r="C7" s="485" t="str">
        <f>vzor_A!H161</f>
        <v/>
      </c>
      <c r="D7" s="486" t="str">
        <f>IF(vzor_A!J161="","",vzor_A!J161)</f>
        <v/>
      </c>
      <c r="E7" s="239"/>
      <c r="F7" s="254">
        <f>vzor_A!N159</f>
        <v>0</v>
      </c>
      <c r="G7" s="215"/>
      <c r="H7" s="149"/>
      <c r="I7" s="149"/>
      <c r="J7" s="133"/>
      <c r="K7" s="133"/>
      <c r="L7" s="133"/>
      <c r="M7" s="133"/>
      <c r="O7" s="234"/>
    </row>
    <row r="8" spans="2:23" ht="18.649999999999999" customHeight="1" x14ac:dyDescent="0.55000000000000004">
      <c r="B8" s="233"/>
      <c r="C8" s="485"/>
      <c r="D8" s="486"/>
      <c r="E8" s="239"/>
      <c r="F8" s="262"/>
      <c r="G8" s="215"/>
      <c r="H8" s="149"/>
      <c r="I8" s="260" t="s">
        <v>233</v>
      </c>
      <c r="J8" s="133"/>
      <c r="K8" s="133"/>
      <c r="L8" s="133"/>
      <c r="M8" s="133"/>
      <c r="O8" s="234"/>
      <c r="Q8" s="512">
        <v>1</v>
      </c>
      <c r="R8" s="513"/>
      <c r="S8" s="513"/>
      <c r="T8" s="513"/>
      <c r="U8" s="513"/>
      <c r="V8" s="513"/>
      <c r="W8" s="514"/>
    </row>
    <row r="9" spans="2:23" ht="18.649999999999999" customHeight="1" x14ac:dyDescent="0.5">
      <c r="B9" s="233"/>
      <c r="C9" s="252">
        <f>vzor_A!H163</f>
        <v>0</v>
      </c>
      <c r="D9" s="149"/>
      <c r="E9" s="149"/>
      <c r="F9" s="149"/>
      <c r="G9" s="216"/>
      <c r="H9" s="247"/>
      <c r="I9" s="469" t="str">
        <f>vzor_A!AF165</f>
        <v/>
      </c>
      <c r="J9" s="477" t="str">
        <f>IF(vzor_A!AM165="","",vzor_A!AM165)</f>
        <v/>
      </c>
      <c r="K9" s="229"/>
      <c r="L9" s="229"/>
      <c r="M9" s="133"/>
      <c r="O9" s="234"/>
      <c r="Q9" s="515"/>
      <c r="R9" s="516"/>
      <c r="S9" s="516"/>
      <c r="T9" s="516"/>
      <c r="U9" s="516"/>
      <c r="V9" s="516"/>
      <c r="W9" s="517"/>
    </row>
    <row r="10" spans="2:23" ht="18.649999999999999" customHeight="1" x14ac:dyDescent="0.5">
      <c r="B10" s="233"/>
      <c r="C10" s="151"/>
      <c r="D10" s="149"/>
      <c r="E10" s="149"/>
      <c r="F10" s="149"/>
      <c r="G10" s="216"/>
      <c r="H10" s="150"/>
      <c r="I10" s="469"/>
      <c r="J10" s="478"/>
      <c r="K10" s="229"/>
      <c r="L10" s="229"/>
      <c r="M10" s="133"/>
      <c r="O10" s="234"/>
      <c r="Q10" s="515"/>
      <c r="R10" s="516"/>
      <c r="S10" s="516"/>
      <c r="T10" s="516"/>
      <c r="U10" s="516"/>
      <c r="V10" s="516"/>
      <c r="W10" s="517"/>
    </row>
    <row r="11" spans="2:23" ht="18.649999999999999" customHeight="1" x14ac:dyDescent="0.55000000000000004">
      <c r="B11" s="233"/>
      <c r="C11" s="469" t="str">
        <f>vzor_A!H169</f>
        <v/>
      </c>
      <c r="D11" s="470" t="str">
        <f>IF(vzor_A!J169="","",vzor_A!J169)</f>
        <v/>
      </c>
      <c r="E11" s="229"/>
      <c r="F11" s="138"/>
      <c r="G11" s="213"/>
      <c r="H11" s="243"/>
      <c r="I11" s="254">
        <f>vzor_A!AF167</f>
        <v>0</v>
      </c>
      <c r="J11" s="145"/>
      <c r="K11" s="133"/>
      <c r="L11" s="133"/>
      <c r="M11" s="133"/>
      <c r="O11" s="234"/>
      <c r="Q11" s="515"/>
      <c r="R11" s="516"/>
      <c r="S11" s="516"/>
      <c r="T11" s="516"/>
      <c r="U11" s="516"/>
      <c r="V11" s="516"/>
      <c r="W11" s="517"/>
    </row>
    <row r="12" spans="2:23" ht="18.649999999999999" customHeight="1" x14ac:dyDescent="0.5">
      <c r="B12" s="233"/>
      <c r="C12" s="469"/>
      <c r="D12" s="470"/>
      <c r="E12" s="229"/>
      <c r="F12" s="138"/>
      <c r="G12" s="215"/>
      <c r="H12" s="149"/>
      <c r="I12" s="149"/>
      <c r="J12" s="145"/>
      <c r="K12" s="133"/>
      <c r="L12" s="133"/>
      <c r="M12" s="133"/>
      <c r="O12" s="234"/>
      <c r="Q12" s="515"/>
      <c r="R12" s="516"/>
      <c r="S12" s="516"/>
      <c r="T12" s="516"/>
      <c r="U12" s="516"/>
      <c r="V12" s="516"/>
      <c r="W12" s="517"/>
    </row>
    <row r="13" spans="2:23" ht="18.649999999999999" customHeight="1" x14ac:dyDescent="0.5">
      <c r="B13" s="233"/>
      <c r="C13" s="252">
        <f>vzor_A!H171</f>
        <v>0</v>
      </c>
      <c r="D13" s="244"/>
      <c r="E13" s="246"/>
      <c r="F13" s="469" t="str">
        <f>vzor_A!N173</f>
        <v/>
      </c>
      <c r="G13" s="477" t="str">
        <f>IF(vzor_A!AE173="","",vzor_A!AE173)</f>
        <v/>
      </c>
      <c r="H13" s="229"/>
      <c r="I13" s="149"/>
      <c r="J13" s="145"/>
      <c r="K13" s="133"/>
      <c r="L13" s="133"/>
      <c r="M13" s="133"/>
      <c r="O13" s="234"/>
      <c r="Q13" s="515"/>
      <c r="R13" s="516"/>
      <c r="S13" s="516"/>
      <c r="T13" s="516"/>
      <c r="U13" s="516"/>
      <c r="V13" s="516"/>
      <c r="W13" s="517"/>
    </row>
    <row r="14" spans="2:23" ht="18.649999999999999" customHeight="1" x14ac:dyDescent="0.5">
      <c r="B14" s="233"/>
      <c r="C14" s="130"/>
      <c r="D14" s="245"/>
      <c r="E14" s="130"/>
      <c r="F14" s="469"/>
      <c r="G14" s="478"/>
      <c r="H14" s="229"/>
      <c r="I14" s="149"/>
      <c r="J14" s="145"/>
      <c r="K14" s="133"/>
      <c r="L14" s="133"/>
      <c r="M14" s="133"/>
      <c r="O14" s="234"/>
      <c r="Q14" s="515"/>
      <c r="R14" s="516"/>
      <c r="S14" s="516"/>
      <c r="T14" s="516"/>
      <c r="U14" s="516"/>
      <c r="V14" s="516"/>
      <c r="W14" s="517"/>
    </row>
    <row r="15" spans="2:23" ht="18.649999999999999" customHeight="1" x14ac:dyDescent="0.55000000000000004">
      <c r="B15" s="233"/>
      <c r="C15" s="485" t="str">
        <f>vzor_A!H177</f>
        <v/>
      </c>
      <c r="D15" s="486" t="str">
        <f>IF(vzor_A!J177="","",vzor_A!J177)</f>
        <v/>
      </c>
      <c r="E15" s="239"/>
      <c r="F15" s="254">
        <f>vzor_A!N175</f>
        <v>0</v>
      </c>
      <c r="G15" s="149"/>
      <c r="H15" s="149"/>
      <c r="I15" s="149"/>
      <c r="J15" s="145"/>
      <c r="K15" s="133"/>
      <c r="L15" s="133"/>
      <c r="M15" s="133"/>
      <c r="N15" s="130"/>
      <c r="O15" s="235"/>
      <c r="Q15" s="515"/>
      <c r="R15" s="516"/>
      <c r="S15" s="516"/>
      <c r="T15" s="516"/>
      <c r="U15" s="516"/>
      <c r="V15" s="516"/>
      <c r="W15" s="517"/>
    </row>
    <row r="16" spans="2:23" ht="18.649999999999999" customHeight="1" x14ac:dyDescent="0.55000000000000004">
      <c r="B16" s="233"/>
      <c r="C16" s="485"/>
      <c r="D16" s="486"/>
      <c r="E16" s="239"/>
      <c r="F16" s="149"/>
      <c r="G16" s="149"/>
      <c r="H16" s="149"/>
      <c r="I16" s="149"/>
      <c r="J16" s="145"/>
      <c r="K16" s="133"/>
      <c r="L16" s="493" t="s">
        <v>236</v>
      </c>
      <c r="M16" s="493"/>
      <c r="N16" s="493"/>
      <c r="O16" s="235"/>
      <c r="Q16" s="515"/>
      <c r="R16" s="516"/>
      <c r="S16" s="516"/>
      <c r="T16" s="516"/>
      <c r="U16" s="516"/>
      <c r="V16" s="516"/>
      <c r="W16" s="517"/>
    </row>
    <row r="17" spans="2:23" ht="18.649999999999999" customHeight="1" x14ac:dyDescent="0.5">
      <c r="B17" s="233"/>
      <c r="C17" s="252">
        <f>vzor_A!H179</f>
        <v>0</v>
      </c>
      <c r="D17" s="144"/>
      <c r="E17" s="144"/>
      <c r="F17" s="149"/>
      <c r="G17" s="149"/>
      <c r="H17" s="149"/>
      <c r="I17" s="149"/>
      <c r="J17" s="133"/>
      <c r="K17" s="240"/>
      <c r="L17" s="487" t="str">
        <f>vzor_A!AL181</f>
        <v/>
      </c>
      <c r="M17" s="488"/>
      <c r="N17" s="489"/>
      <c r="O17" s="235"/>
      <c r="Q17" s="515"/>
      <c r="R17" s="516"/>
      <c r="S17" s="516"/>
      <c r="T17" s="516"/>
      <c r="U17" s="516"/>
      <c r="V17" s="516"/>
      <c r="W17" s="517"/>
    </row>
    <row r="18" spans="2:23" ht="18.649999999999999" customHeight="1" x14ac:dyDescent="0.5">
      <c r="B18" s="233"/>
      <c r="C18" s="149"/>
      <c r="D18" s="149"/>
      <c r="E18" s="149"/>
      <c r="F18" s="149"/>
      <c r="G18" s="149"/>
      <c r="H18" s="149"/>
      <c r="I18" s="149"/>
      <c r="J18" s="145"/>
      <c r="K18" s="133"/>
      <c r="L18" s="490"/>
      <c r="M18" s="491"/>
      <c r="N18" s="492"/>
      <c r="O18" s="235"/>
      <c r="Q18" s="515"/>
      <c r="R18" s="516"/>
      <c r="S18" s="516"/>
      <c r="T18" s="516"/>
      <c r="U18" s="516"/>
      <c r="V18" s="516"/>
      <c r="W18" s="517"/>
    </row>
    <row r="19" spans="2:23" ht="18.649999999999999" customHeight="1" x14ac:dyDescent="0.5">
      <c r="B19" s="233"/>
      <c r="C19" s="469" t="str">
        <f>vzor_A!H185</f>
        <v/>
      </c>
      <c r="D19" s="470" t="str">
        <f>IF(vzor_A!J185="","",vzor_A!J185)</f>
        <v/>
      </c>
      <c r="E19" s="229"/>
      <c r="F19" s="138"/>
      <c r="G19" s="130"/>
      <c r="H19" s="130"/>
      <c r="I19" s="130"/>
      <c r="J19" s="145"/>
      <c r="K19" s="133"/>
      <c r="L19" s="133"/>
      <c r="M19" s="241"/>
      <c r="N19" s="130"/>
      <c r="O19" s="235"/>
      <c r="Q19" s="515"/>
      <c r="R19" s="516"/>
      <c r="S19" s="516"/>
      <c r="T19" s="516"/>
      <c r="U19" s="516"/>
      <c r="V19" s="516"/>
      <c r="W19" s="517"/>
    </row>
    <row r="20" spans="2:23" ht="18.649999999999999" customHeight="1" x14ac:dyDescent="0.5">
      <c r="B20" s="233"/>
      <c r="C20" s="469"/>
      <c r="D20" s="470"/>
      <c r="E20" s="229"/>
      <c r="F20" s="138"/>
      <c r="G20" s="130"/>
      <c r="H20" s="130"/>
      <c r="I20" s="130"/>
      <c r="J20" s="145"/>
      <c r="K20" s="133"/>
      <c r="L20" s="133"/>
      <c r="M20" s="133"/>
      <c r="N20" s="130"/>
      <c r="O20" s="235"/>
      <c r="Q20" s="515"/>
      <c r="R20" s="516"/>
      <c r="S20" s="516"/>
      <c r="T20" s="516"/>
      <c r="U20" s="516"/>
      <c r="V20" s="516"/>
      <c r="W20" s="517"/>
    </row>
    <row r="21" spans="2:23" ht="18.649999999999999" customHeight="1" x14ac:dyDescent="0.5">
      <c r="B21" s="233"/>
      <c r="C21" s="252">
        <f>vzor_A!H187</f>
        <v>0</v>
      </c>
      <c r="D21" s="244"/>
      <c r="E21" s="246"/>
      <c r="F21" s="469" t="str">
        <f>vzor_A!N189</f>
        <v/>
      </c>
      <c r="G21" s="470" t="str">
        <f>IF(vzor_A!AE189="","",vzor_A!AE189)</f>
        <v/>
      </c>
      <c r="H21" s="229"/>
      <c r="I21" s="130"/>
      <c r="J21" s="145"/>
      <c r="K21" s="133"/>
      <c r="L21" s="133"/>
      <c r="M21" s="133"/>
      <c r="N21" s="130"/>
      <c r="O21" s="235"/>
      <c r="Q21" s="515"/>
      <c r="R21" s="516"/>
      <c r="S21" s="516"/>
      <c r="T21" s="516"/>
      <c r="U21" s="516"/>
      <c r="V21" s="516"/>
      <c r="W21" s="517"/>
    </row>
    <row r="22" spans="2:23" ht="18.649999999999999" customHeight="1" x14ac:dyDescent="0.5">
      <c r="B22" s="233"/>
      <c r="C22" s="130"/>
      <c r="D22" s="245"/>
      <c r="E22" s="130"/>
      <c r="F22" s="469"/>
      <c r="G22" s="470"/>
      <c r="H22" s="229"/>
      <c r="I22" s="130"/>
      <c r="J22" s="145"/>
      <c r="K22" s="133"/>
      <c r="L22" s="133"/>
      <c r="M22" s="133"/>
      <c r="N22" s="130"/>
      <c r="O22" s="235"/>
      <c r="Q22" s="515"/>
      <c r="R22" s="516"/>
      <c r="S22" s="516"/>
      <c r="T22" s="516"/>
      <c r="U22" s="516"/>
      <c r="V22" s="516"/>
      <c r="W22" s="517"/>
    </row>
    <row r="23" spans="2:23" ht="18.649999999999999" customHeight="1" x14ac:dyDescent="0.55000000000000004">
      <c r="B23" s="233"/>
      <c r="C23" s="485" t="str">
        <f>vzor_A!H193</f>
        <v/>
      </c>
      <c r="D23" s="486" t="str">
        <f>IF(vzor_A!J193="","",vzor_A!J193)</f>
        <v/>
      </c>
      <c r="E23" s="239"/>
      <c r="F23" s="254">
        <f>vzor_A!N191</f>
        <v>0</v>
      </c>
      <c r="G23" s="215"/>
      <c r="H23" s="149"/>
      <c r="I23" s="149"/>
      <c r="J23" s="145"/>
      <c r="K23" s="133"/>
      <c r="L23" s="133"/>
      <c r="M23" s="133"/>
      <c r="N23" s="130"/>
      <c r="O23" s="235"/>
      <c r="Q23" s="515"/>
      <c r="R23" s="516"/>
      <c r="S23" s="516"/>
      <c r="T23" s="516"/>
      <c r="U23" s="516"/>
      <c r="V23" s="516"/>
      <c r="W23" s="517"/>
    </row>
    <row r="24" spans="2:23" ht="18.649999999999999" customHeight="1" x14ac:dyDescent="0.55000000000000004">
      <c r="B24" s="233"/>
      <c r="C24" s="485"/>
      <c r="D24" s="486"/>
      <c r="E24" s="239"/>
      <c r="F24" s="149"/>
      <c r="G24" s="215"/>
      <c r="H24" s="149"/>
      <c r="I24" s="149"/>
      <c r="J24" s="145"/>
      <c r="K24" s="133"/>
      <c r="L24" s="134"/>
      <c r="M24" s="256"/>
      <c r="N24" s="135"/>
      <c r="O24" s="235"/>
      <c r="Q24" s="515"/>
      <c r="R24" s="516"/>
      <c r="S24" s="516"/>
      <c r="T24" s="516"/>
      <c r="U24" s="516"/>
      <c r="V24" s="516"/>
      <c r="W24" s="517"/>
    </row>
    <row r="25" spans="2:23" ht="18.649999999999999" customHeight="1" x14ac:dyDescent="0.5">
      <c r="B25" s="233"/>
      <c r="C25" s="252">
        <f>vzor_A!H195</f>
        <v>0</v>
      </c>
      <c r="D25" s="144"/>
      <c r="E25" s="144"/>
      <c r="F25" s="149"/>
      <c r="G25" s="216"/>
      <c r="H25" s="247"/>
      <c r="I25" s="469" t="str">
        <f>vzor_A!AF197</f>
        <v/>
      </c>
      <c r="J25" s="477" t="str">
        <f>IF(vzor_A!AM197="","",vzor_A!AM197)</f>
        <v/>
      </c>
      <c r="K25" s="229"/>
      <c r="L25" s="263"/>
      <c r="M25" s="135"/>
      <c r="N25" s="263"/>
      <c r="O25" s="235"/>
      <c r="Q25" s="515"/>
      <c r="R25" s="516"/>
      <c r="S25" s="516"/>
      <c r="T25" s="516"/>
      <c r="U25" s="516"/>
      <c r="V25" s="516"/>
      <c r="W25" s="517"/>
    </row>
    <row r="26" spans="2:23" ht="18.649999999999999" customHeight="1" x14ac:dyDescent="0.5">
      <c r="B26" s="233"/>
      <c r="C26" s="149"/>
      <c r="D26" s="149"/>
      <c r="E26" s="149"/>
      <c r="F26" s="149"/>
      <c r="G26" s="216"/>
      <c r="H26" s="216"/>
      <c r="I26" s="469"/>
      <c r="J26" s="478"/>
      <c r="K26" s="229"/>
      <c r="L26" s="263"/>
      <c r="M26" s="135"/>
      <c r="N26" s="263"/>
      <c r="O26" s="235"/>
      <c r="Q26" s="515"/>
      <c r="R26" s="516"/>
      <c r="S26" s="516"/>
      <c r="T26" s="516"/>
      <c r="U26" s="516"/>
      <c r="V26" s="516"/>
      <c r="W26" s="517"/>
    </row>
    <row r="27" spans="2:23" ht="18.649999999999999" customHeight="1" x14ac:dyDescent="0.55000000000000004">
      <c r="B27" s="233"/>
      <c r="C27" s="469" t="str">
        <f>vzor_A!H201</f>
        <v/>
      </c>
      <c r="D27" s="470" t="str">
        <f>IF(vzor_A!J201="","",vzor_A!J201)</f>
        <v/>
      </c>
      <c r="E27" s="229"/>
      <c r="F27" s="138"/>
      <c r="G27" s="213"/>
      <c r="H27" s="243"/>
      <c r="I27" s="254">
        <f>vzor_A!AF199</f>
        <v>0</v>
      </c>
      <c r="J27" s="133"/>
      <c r="K27" s="133"/>
      <c r="L27" s="134"/>
      <c r="M27" s="253"/>
      <c r="N27" s="135"/>
      <c r="O27" s="235"/>
      <c r="Q27" s="515"/>
      <c r="R27" s="516"/>
      <c r="S27" s="516"/>
      <c r="T27" s="516"/>
      <c r="U27" s="516"/>
      <c r="V27" s="516"/>
      <c r="W27" s="517"/>
    </row>
    <row r="28" spans="2:23" ht="18.649999999999999" customHeight="1" x14ac:dyDescent="0.5">
      <c r="B28" s="233"/>
      <c r="C28" s="469"/>
      <c r="D28" s="470"/>
      <c r="E28" s="229"/>
      <c r="F28" s="138"/>
      <c r="G28" s="215"/>
      <c r="H28" s="149"/>
      <c r="I28" s="149"/>
      <c r="J28" s="133"/>
      <c r="K28" s="133"/>
      <c r="L28" s="263"/>
      <c r="M28" s="135"/>
      <c r="N28" s="263"/>
      <c r="O28" s="235"/>
      <c r="Q28" s="515"/>
      <c r="R28" s="516"/>
      <c r="S28" s="516"/>
      <c r="T28" s="516"/>
      <c r="U28" s="516"/>
      <c r="V28" s="516"/>
      <c r="W28" s="517"/>
    </row>
    <row r="29" spans="2:23" ht="18.649999999999999" customHeight="1" x14ac:dyDescent="0.5">
      <c r="B29" s="233"/>
      <c r="C29" s="252">
        <f>vzor_A!H203</f>
        <v>0</v>
      </c>
      <c r="D29" s="244"/>
      <c r="E29" s="246"/>
      <c r="F29" s="469" t="str">
        <f>vzor_A!N205</f>
        <v/>
      </c>
      <c r="G29" s="470" t="str">
        <f>IF(vzor_A!AE205="","",vzor_A!AE205)</f>
        <v/>
      </c>
      <c r="H29" s="229"/>
      <c r="I29" s="149"/>
      <c r="J29" s="133"/>
      <c r="K29" s="133"/>
      <c r="L29" s="263"/>
      <c r="M29" s="135"/>
      <c r="N29" s="263"/>
      <c r="O29" s="235"/>
      <c r="Q29" s="515"/>
      <c r="R29" s="516"/>
      <c r="S29" s="516"/>
      <c r="T29" s="516"/>
      <c r="U29" s="516"/>
      <c r="V29" s="516"/>
      <c r="W29" s="517"/>
    </row>
    <row r="30" spans="2:23" ht="18.649999999999999" customHeight="1" x14ac:dyDescent="0.5">
      <c r="B30" s="233"/>
      <c r="C30" s="158"/>
      <c r="D30" s="245"/>
      <c r="E30" s="130"/>
      <c r="F30" s="469"/>
      <c r="G30" s="470"/>
      <c r="H30" s="229"/>
      <c r="I30" s="149"/>
      <c r="J30" s="133"/>
      <c r="K30" s="133"/>
      <c r="L30" s="134"/>
      <c r="M30" s="253"/>
      <c r="N30" s="135"/>
      <c r="O30" s="235"/>
      <c r="Q30" s="515"/>
      <c r="R30" s="516"/>
      <c r="S30" s="516"/>
      <c r="T30" s="516"/>
      <c r="U30" s="516"/>
      <c r="V30" s="516"/>
      <c r="W30" s="517"/>
    </row>
    <row r="31" spans="2:23" ht="18.649999999999999" customHeight="1" x14ac:dyDescent="0.55000000000000004">
      <c r="B31" s="233"/>
      <c r="C31" s="485" t="str">
        <f>vzor_A!H209</f>
        <v/>
      </c>
      <c r="D31" s="486" t="str">
        <f>IF(vzor_A!J209="","",vzor_A!J209)</f>
        <v/>
      </c>
      <c r="E31" s="239"/>
      <c r="F31" s="254">
        <f>vzor_A!N207</f>
        <v>0</v>
      </c>
      <c r="G31" s="149"/>
      <c r="H31" s="149"/>
      <c r="I31" s="149"/>
      <c r="J31" s="226"/>
      <c r="K31" s="226"/>
      <c r="L31" s="263"/>
      <c r="M31" s="135"/>
      <c r="N31" s="263"/>
      <c r="O31" s="235"/>
      <c r="Q31" s="515"/>
      <c r="R31" s="516"/>
      <c r="S31" s="516"/>
      <c r="T31" s="516"/>
      <c r="U31" s="516"/>
      <c r="V31" s="516"/>
      <c r="W31" s="517"/>
    </row>
    <row r="32" spans="2:23" ht="18.649999999999999" customHeight="1" x14ac:dyDescent="0.5">
      <c r="B32" s="233"/>
      <c r="C32" s="485"/>
      <c r="D32" s="486"/>
      <c r="E32" s="239"/>
      <c r="F32" s="149"/>
      <c r="G32" s="149"/>
      <c r="H32" s="149"/>
      <c r="I32" s="149"/>
      <c r="J32" s="226"/>
      <c r="K32" s="226"/>
      <c r="L32" s="263"/>
      <c r="M32" s="135"/>
      <c r="N32" s="263"/>
      <c r="O32" s="236"/>
      <c r="Q32" s="515"/>
      <c r="R32" s="516"/>
      <c r="S32" s="516"/>
      <c r="T32" s="516"/>
      <c r="U32" s="516"/>
      <c r="V32" s="516"/>
      <c r="W32" s="517"/>
    </row>
    <row r="33" spans="2:23" ht="20.6" x14ac:dyDescent="0.5">
      <c r="B33" s="233"/>
      <c r="C33" s="252">
        <f>vzor_A!H211</f>
        <v>0</v>
      </c>
      <c r="D33" s="144"/>
      <c r="E33" s="144"/>
      <c r="F33" s="149"/>
      <c r="G33" s="149"/>
      <c r="H33" s="149"/>
      <c r="I33" s="149"/>
      <c r="J33" s="226"/>
      <c r="K33" s="226"/>
      <c r="L33" s="133"/>
      <c r="M33" s="253"/>
      <c r="N33" s="133"/>
      <c r="O33" s="248"/>
      <c r="Q33" s="515"/>
      <c r="R33" s="516"/>
      <c r="S33" s="516"/>
      <c r="T33" s="516"/>
      <c r="U33" s="516"/>
      <c r="V33" s="516"/>
      <c r="W33" s="517"/>
    </row>
    <row r="34" spans="2:23" ht="20.6" x14ac:dyDescent="0.5">
      <c r="B34" s="233"/>
      <c r="C34" s="241"/>
      <c r="D34" s="144"/>
      <c r="E34" s="144"/>
      <c r="F34" s="149"/>
      <c r="G34" s="149"/>
      <c r="H34" s="149"/>
      <c r="I34" s="149"/>
      <c r="J34" s="226"/>
      <c r="K34" s="226"/>
      <c r="L34" s="133"/>
      <c r="M34" s="133"/>
      <c r="N34" s="133"/>
      <c r="O34" s="248"/>
      <c r="Q34" s="515"/>
      <c r="R34" s="516"/>
      <c r="S34" s="516"/>
      <c r="T34" s="516"/>
      <c r="U34" s="516"/>
      <c r="V34" s="516"/>
      <c r="W34" s="517"/>
    </row>
    <row r="35" spans="2:23" ht="18.649999999999999" customHeight="1" x14ac:dyDescent="0.5">
      <c r="B35" s="251"/>
      <c r="C35" s="242"/>
      <c r="D35" s="237"/>
      <c r="E35" s="237"/>
      <c r="F35" s="249"/>
      <c r="G35" s="249"/>
      <c r="H35" s="249"/>
      <c r="I35" s="249"/>
      <c r="J35" s="227"/>
      <c r="K35" s="227"/>
      <c r="L35" s="250"/>
      <c r="M35" s="250"/>
      <c r="N35" s="250"/>
      <c r="O35" s="238"/>
      <c r="Q35" s="518"/>
      <c r="R35" s="519"/>
      <c r="S35" s="519"/>
      <c r="T35" s="519"/>
      <c r="U35" s="519"/>
      <c r="V35" s="519"/>
      <c r="W35" s="520"/>
    </row>
    <row r="36" spans="2:23" ht="18.649999999999999" customHeight="1" x14ac:dyDescent="0.5">
      <c r="C36" s="241"/>
      <c r="D36" s="144"/>
      <c r="E36" s="144"/>
      <c r="F36" s="149"/>
      <c r="G36" s="149"/>
      <c r="H36" s="149"/>
      <c r="I36" s="149"/>
      <c r="J36" s="226"/>
      <c r="K36" s="226"/>
      <c r="L36" s="226"/>
      <c r="M36" s="226"/>
      <c r="N36" s="228"/>
      <c r="O36" s="228"/>
    </row>
    <row r="37" spans="2:23" ht="18.45" x14ac:dyDescent="0.5">
      <c r="C37" s="131"/>
      <c r="D37" s="130"/>
      <c r="E37" s="130"/>
      <c r="F37" s="133"/>
      <c r="G37" s="130"/>
      <c r="H37" s="130"/>
      <c r="I37" s="130"/>
      <c r="J37" s="14"/>
      <c r="K37" s="14"/>
      <c r="L37" s="14"/>
      <c r="M37" s="14"/>
      <c r="N37" s="130"/>
      <c r="O37" s="134"/>
    </row>
    <row r="38" spans="2:23" ht="27" customHeight="1" x14ac:dyDescent="0.55000000000000004">
      <c r="B38" s="230"/>
      <c r="C38" s="259" t="s">
        <v>224</v>
      </c>
      <c r="D38" s="231"/>
      <c r="E38" s="231"/>
      <c r="F38" s="232"/>
      <c r="G38" s="231"/>
      <c r="H38" s="231"/>
      <c r="I38" s="231"/>
      <c r="J38" s="154"/>
      <c r="K38" s="154"/>
      <c r="L38" s="154"/>
      <c r="M38" s="154"/>
      <c r="N38" s="467"/>
      <c r="O38" s="468"/>
    </row>
    <row r="39" spans="2:23" ht="18.649999999999999" customHeight="1" x14ac:dyDescent="0.5">
      <c r="B39" s="233"/>
      <c r="C39" s="469" t="str">
        <f>vzor_A!H153</f>
        <v/>
      </c>
      <c r="D39" s="470" t="str">
        <f>IF(vzor_A!J153="","",vzor_A!J153)</f>
        <v/>
      </c>
      <c r="E39" s="229"/>
      <c r="F39" s="141"/>
      <c r="G39" s="130"/>
      <c r="H39" s="130"/>
      <c r="I39" s="130"/>
      <c r="J39" s="133"/>
      <c r="K39" s="133"/>
      <c r="L39" s="471">
        <f>vzor_A!$B$8</f>
        <v>0</v>
      </c>
      <c r="M39" s="472"/>
      <c r="N39" s="473"/>
      <c r="O39" s="234"/>
      <c r="Q39" s="502" t="s">
        <v>295</v>
      </c>
      <c r="R39" s="503"/>
      <c r="S39" s="503"/>
      <c r="T39" s="503"/>
      <c r="U39" s="503"/>
      <c r="V39" s="503"/>
      <c r="W39" s="504"/>
    </row>
    <row r="40" spans="2:23" ht="18.649999999999999" customHeight="1" x14ac:dyDescent="0.55000000000000004">
      <c r="B40" s="233"/>
      <c r="C40" s="469"/>
      <c r="D40" s="470"/>
      <c r="E40" s="229"/>
      <c r="F40" s="255" t="s">
        <v>224</v>
      </c>
      <c r="G40" s="130"/>
      <c r="H40" s="130"/>
      <c r="I40" s="130"/>
      <c r="J40" s="133"/>
      <c r="K40" s="133"/>
      <c r="L40" s="474"/>
      <c r="M40" s="475"/>
      <c r="N40" s="476"/>
      <c r="O40" s="234"/>
      <c r="Q40" s="505"/>
      <c r="R40" s="506"/>
      <c r="S40" s="506"/>
      <c r="T40" s="506"/>
      <c r="U40" s="506"/>
      <c r="V40" s="506"/>
      <c r="W40" s="507"/>
    </row>
    <row r="41" spans="2:23" ht="18.649999999999999" customHeight="1" x14ac:dyDescent="0.55000000000000004">
      <c r="B41" s="233"/>
      <c r="C41" s="257">
        <f>vzor_A!H155</f>
        <v>0</v>
      </c>
      <c r="D41" s="244"/>
      <c r="E41" s="246"/>
      <c r="F41" s="469" t="str">
        <f>vzor_A!N157</f>
        <v/>
      </c>
      <c r="G41" s="477" t="str">
        <f>IF(vzor_A!AE157="","",vzor_A!AE157)</f>
        <v/>
      </c>
      <c r="H41" s="229"/>
      <c r="I41" s="130"/>
      <c r="J41" s="133"/>
      <c r="K41" s="133"/>
      <c r="L41" s="479">
        <f>vzor_A!$B$14</f>
        <v>0</v>
      </c>
      <c r="M41" s="480"/>
      <c r="N41" s="481"/>
      <c r="O41" s="234"/>
      <c r="Q41" s="505"/>
      <c r="R41" s="506"/>
      <c r="S41" s="506"/>
      <c r="T41" s="506"/>
      <c r="U41" s="506"/>
      <c r="V41" s="506"/>
      <c r="W41" s="507"/>
    </row>
    <row r="42" spans="2:23" ht="18.649999999999999" customHeight="1" x14ac:dyDescent="0.5">
      <c r="B42" s="233"/>
      <c r="C42" s="130"/>
      <c r="D42" s="245"/>
      <c r="E42" s="130"/>
      <c r="F42" s="469"/>
      <c r="G42" s="478"/>
      <c r="H42" s="229"/>
      <c r="I42" s="130"/>
      <c r="J42" s="133"/>
      <c r="K42" s="133"/>
      <c r="L42" s="482"/>
      <c r="M42" s="483"/>
      <c r="N42" s="484"/>
      <c r="O42" s="234"/>
      <c r="Q42" s="508"/>
      <c r="R42" s="509"/>
      <c r="S42" s="509"/>
      <c r="T42" s="509"/>
      <c r="U42" s="509"/>
      <c r="V42" s="509"/>
      <c r="W42" s="510"/>
    </row>
    <row r="43" spans="2:23" ht="18.649999999999999" customHeight="1" x14ac:dyDescent="0.55000000000000004">
      <c r="B43" s="233"/>
      <c r="C43" s="485" t="str">
        <f>vzor_A!H161</f>
        <v/>
      </c>
      <c r="D43" s="486" t="str">
        <f>IF(vzor_A!J161="","",vzor_A!J161)</f>
        <v/>
      </c>
      <c r="E43" s="239"/>
      <c r="F43" s="254">
        <f>vzor_A!N159</f>
        <v>0</v>
      </c>
      <c r="G43" s="215"/>
      <c r="H43" s="149"/>
      <c r="I43" s="149"/>
      <c r="J43" s="133"/>
      <c r="K43" s="133"/>
      <c r="L43" s="133"/>
      <c r="M43" s="133"/>
      <c r="O43" s="234"/>
    </row>
    <row r="44" spans="2:23" ht="18.649999999999999" customHeight="1" x14ac:dyDescent="0.55000000000000004">
      <c r="B44" s="233"/>
      <c r="C44" s="485"/>
      <c r="D44" s="486"/>
      <c r="E44" s="239"/>
      <c r="F44" s="262"/>
      <c r="G44" s="215"/>
      <c r="H44" s="149"/>
      <c r="I44" s="260" t="s">
        <v>233</v>
      </c>
      <c r="J44" s="133"/>
      <c r="K44" s="133"/>
      <c r="L44" s="133"/>
      <c r="M44" s="133"/>
      <c r="O44" s="234"/>
      <c r="Q44" s="512">
        <v>2</v>
      </c>
      <c r="R44" s="513"/>
      <c r="S44" s="513"/>
      <c r="T44" s="513"/>
      <c r="U44" s="513"/>
      <c r="V44" s="513"/>
      <c r="W44" s="514"/>
    </row>
    <row r="45" spans="2:23" ht="18.649999999999999" customHeight="1" x14ac:dyDescent="0.55000000000000004">
      <c r="B45" s="233"/>
      <c r="C45" s="257">
        <f>vzor_A!H163</f>
        <v>0</v>
      </c>
      <c r="D45" s="149"/>
      <c r="E45" s="149"/>
      <c r="F45" s="149"/>
      <c r="G45" s="216"/>
      <c r="H45" s="247"/>
      <c r="I45" s="469" t="str">
        <f>vzor_A!AF165</f>
        <v/>
      </c>
      <c r="J45" s="477" t="str">
        <f>IF(vzor_A!AM165="","",vzor_A!AM165)</f>
        <v/>
      </c>
      <c r="K45" s="229"/>
      <c r="L45" s="229"/>
      <c r="M45" s="133"/>
      <c r="O45" s="234"/>
      <c r="Q45" s="515"/>
      <c r="R45" s="516"/>
      <c r="S45" s="516"/>
      <c r="T45" s="516"/>
      <c r="U45" s="516"/>
      <c r="V45" s="516"/>
      <c r="W45" s="517"/>
    </row>
    <row r="46" spans="2:23" ht="18.649999999999999" customHeight="1" x14ac:dyDescent="0.5">
      <c r="B46" s="233"/>
      <c r="C46" s="151"/>
      <c r="D46" s="149"/>
      <c r="E46" s="149"/>
      <c r="F46" s="149"/>
      <c r="G46" s="216"/>
      <c r="H46" s="150"/>
      <c r="I46" s="469"/>
      <c r="J46" s="478"/>
      <c r="K46" s="229"/>
      <c r="L46" s="229"/>
      <c r="M46" s="133"/>
      <c r="O46" s="234"/>
      <c r="Q46" s="515"/>
      <c r="R46" s="516"/>
      <c r="S46" s="516"/>
      <c r="T46" s="516"/>
      <c r="U46" s="516"/>
      <c r="V46" s="516"/>
      <c r="W46" s="517"/>
    </row>
    <row r="47" spans="2:23" ht="18.649999999999999" customHeight="1" x14ac:dyDescent="0.55000000000000004">
      <c r="B47" s="233"/>
      <c r="C47" s="469" t="str">
        <f>vzor_A!H169</f>
        <v/>
      </c>
      <c r="D47" s="470" t="str">
        <f>IF(vzor_A!J169="","",vzor_A!J169)</f>
        <v/>
      </c>
      <c r="E47" s="229"/>
      <c r="F47" s="138"/>
      <c r="G47" s="213"/>
      <c r="H47" s="243"/>
      <c r="I47" s="254">
        <f>vzor_A!AF167</f>
        <v>0</v>
      </c>
      <c r="J47" s="145"/>
      <c r="K47" s="133"/>
      <c r="L47" s="133"/>
      <c r="M47" s="133"/>
      <c r="O47" s="234"/>
      <c r="Q47" s="515"/>
      <c r="R47" s="516"/>
      <c r="S47" s="516"/>
      <c r="T47" s="516"/>
      <c r="U47" s="516"/>
      <c r="V47" s="516"/>
      <c r="W47" s="517"/>
    </row>
    <row r="48" spans="2:23" ht="18.649999999999999" customHeight="1" x14ac:dyDescent="0.5">
      <c r="B48" s="233"/>
      <c r="C48" s="469"/>
      <c r="D48" s="470"/>
      <c r="E48" s="229"/>
      <c r="F48" s="138"/>
      <c r="G48" s="215"/>
      <c r="H48" s="149"/>
      <c r="I48" s="149"/>
      <c r="J48" s="145"/>
      <c r="K48" s="133"/>
      <c r="L48" s="133"/>
      <c r="M48" s="133"/>
      <c r="O48" s="234"/>
      <c r="Q48" s="515"/>
      <c r="R48" s="516"/>
      <c r="S48" s="516"/>
      <c r="T48" s="516"/>
      <c r="U48" s="516"/>
      <c r="V48" s="516"/>
      <c r="W48" s="517"/>
    </row>
    <row r="49" spans="2:23" ht="18.649999999999999" customHeight="1" x14ac:dyDescent="0.55000000000000004">
      <c r="B49" s="233"/>
      <c r="C49" s="257">
        <f>vzor_A!H171</f>
        <v>0</v>
      </c>
      <c r="D49" s="244"/>
      <c r="E49" s="246"/>
      <c r="F49" s="469" t="str">
        <f>vzor_A!N173</f>
        <v/>
      </c>
      <c r="G49" s="477" t="str">
        <f>IF(vzor_A!AE173="","",vzor_A!AE173)</f>
        <v/>
      </c>
      <c r="H49" s="229"/>
      <c r="I49" s="149"/>
      <c r="J49" s="145"/>
      <c r="K49" s="133"/>
      <c r="L49" s="133"/>
      <c r="M49" s="133"/>
      <c r="O49" s="234"/>
      <c r="Q49" s="515"/>
      <c r="R49" s="516"/>
      <c r="S49" s="516"/>
      <c r="T49" s="516"/>
      <c r="U49" s="516"/>
      <c r="V49" s="516"/>
      <c r="W49" s="517"/>
    </row>
    <row r="50" spans="2:23" ht="18.649999999999999" customHeight="1" x14ac:dyDescent="0.5">
      <c r="B50" s="233"/>
      <c r="C50" s="130"/>
      <c r="D50" s="245"/>
      <c r="E50" s="130"/>
      <c r="F50" s="469"/>
      <c r="G50" s="478"/>
      <c r="H50" s="229"/>
      <c r="I50" s="149"/>
      <c r="J50" s="145"/>
      <c r="K50" s="133"/>
      <c r="L50" s="133"/>
      <c r="M50" s="133"/>
      <c r="O50" s="234"/>
      <c r="Q50" s="515"/>
      <c r="R50" s="516"/>
      <c r="S50" s="516"/>
      <c r="T50" s="516"/>
      <c r="U50" s="516"/>
      <c r="V50" s="516"/>
      <c r="W50" s="517"/>
    </row>
    <row r="51" spans="2:23" ht="18.649999999999999" customHeight="1" x14ac:dyDescent="0.55000000000000004">
      <c r="B51" s="233"/>
      <c r="C51" s="485" t="str">
        <f>vzor_A!H177</f>
        <v/>
      </c>
      <c r="D51" s="486" t="str">
        <f>IF(vzor_A!J177="","",vzor_A!J177)</f>
        <v/>
      </c>
      <c r="E51" s="239"/>
      <c r="F51" s="254">
        <f>vzor_A!N175</f>
        <v>0</v>
      </c>
      <c r="G51" s="149"/>
      <c r="H51" s="149"/>
      <c r="I51" s="149"/>
      <c r="J51" s="145"/>
      <c r="K51" s="133"/>
      <c r="L51" s="133"/>
      <c r="M51" s="133"/>
      <c r="N51" s="130"/>
      <c r="O51" s="235"/>
      <c r="Q51" s="515"/>
      <c r="R51" s="516"/>
      <c r="S51" s="516"/>
      <c r="T51" s="516"/>
      <c r="U51" s="516"/>
      <c r="V51" s="516"/>
      <c r="W51" s="517"/>
    </row>
    <row r="52" spans="2:23" ht="18.649999999999999" customHeight="1" x14ac:dyDescent="0.55000000000000004">
      <c r="B52" s="233"/>
      <c r="C52" s="485"/>
      <c r="D52" s="486"/>
      <c r="E52" s="239"/>
      <c r="F52" s="149"/>
      <c r="G52" s="149"/>
      <c r="H52" s="149"/>
      <c r="I52" s="149"/>
      <c r="J52" s="145"/>
      <c r="K52" s="133"/>
      <c r="L52" s="493" t="s">
        <v>236</v>
      </c>
      <c r="M52" s="493"/>
      <c r="N52" s="493"/>
      <c r="O52" s="235"/>
      <c r="Q52" s="515"/>
      <c r="R52" s="516"/>
      <c r="S52" s="516"/>
      <c r="T52" s="516"/>
      <c r="U52" s="516"/>
      <c r="V52" s="516"/>
      <c r="W52" s="517"/>
    </row>
    <row r="53" spans="2:23" ht="18.649999999999999" customHeight="1" x14ac:dyDescent="0.55000000000000004">
      <c r="B53" s="233"/>
      <c r="C53" s="257">
        <f>vzor_A!H179</f>
        <v>0</v>
      </c>
      <c r="D53" s="144"/>
      <c r="E53" s="144"/>
      <c r="F53" s="149"/>
      <c r="G53" s="149"/>
      <c r="H53" s="149"/>
      <c r="I53" s="149"/>
      <c r="J53" s="133"/>
      <c r="K53" s="240"/>
      <c r="L53" s="487" t="str">
        <f>vzor_A!AL181</f>
        <v/>
      </c>
      <c r="M53" s="488"/>
      <c r="N53" s="489"/>
      <c r="O53" s="235"/>
      <c r="Q53" s="515"/>
      <c r="R53" s="516"/>
      <c r="S53" s="516"/>
      <c r="T53" s="516"/>
      <c r="U53" s="516"/>
      <c r="V53" s="516"/>
      <c r="W53" s="517"/>
    </row>
    <row r="54" spans="2:23" ht="18.649999999999999" customHeight="1" x14ac:dyDescent="0.5">
      <c r="B54" s="233"/>
      <c r="C54" s="149"/>
      <c r="D54" s="149"/>
      <c r="E54" s="149"/>
      <c r="F54" s="149"/>
      <c r="G54" s="149"/>
      <c r="H54" s="149"/>
      <c r="I54" s="149"/>
      <c r="J54" s="145"/>
      <c r="K54" s="133"/>
      <c r="L54" s="490"/>
      <c r="M54" s="491"/>
      <c r="N54" s="492"/>
      <c r="O54" s="235"/>
      <c r="Q54" s="515"/>
      <c r="R54" s="516"/>
      <c r="S54" s="516"/>
      <c r="T54" s="516"/>
      <c r="U54" s="516"/>
      <c r="V54" s="516"/>
      <c r="W54" s="517"/>
    </row>
    <row r="55" spans="2:23" ht="18.649999999999999" customHeight="1" x14ac:dyDescent="0.5">
      <c r="B55" s="233"/>
      <c r="C55" s="469" t="str">
        <f>vzor_A!H185</f>
        <v/>
      </c>
      <c r="D55" s="470" t="str">
        <f>IF(vzor_A!J185="","",vzor_A!J185)</f>
        <v/>
      </c>
      <c r="E55" s="229"/>
      <c r="F55" s="138"/>
      <c r="G55" s="130"/>
      <c r="H55" s="130"/>
      <c r="I55" s="130"/>
      <c r="J55" s="145"/>
      <c r="K55" s="133"/>
      <c r="L55" s="133"/>
      <c r="M55" s="241"/>
      <c r="N55" s="130"/>
      <c r="O55" s="235"/>
      <c r="Q55" s="515"/>
      <c r="R55" s="516"/>
      <c r="S55" s="516"/>
      <c r="T55" s="516"/>
      <c r="U55" s="516"/>
      <c r="V55" s="516"/>
      <c r="W55" s="517"/>
    </row>
    <row r="56" spans="2:23" ht="18.649999999999999" customHeight="1" x14ac:dyDescent="0.5">
      <c r="B56" s="233"/>
      <c r="C56" s="469"/>
      <c r="D56" s="470"/>
      <c r="E56" s="229"/>
      <c r="F56" s="138"/>
      <c r="G56" s="130"/>
      <c r="H56" s="130"/>
      <c r="I56" s="130"/>
      <c r="J56" s="145"/>
      <c r="K56" s="133"/>
      <c r="L56" s="133"/>
      <c r="M56" s="133"/>
      <c r="N56" s="130"/>
      <c r="O56" s="235"/>
      <c r="Q56" s="515"/>
      <c r="R56" s="516"/>
      <c r="S56" s="516"/>
      <c r="T56" s="516"/>
      <c r="U56" s="516"/>
      <c r="V56" s="516"/>
      <c r="W56" s="517"/>
    </row>
    <row r="57" spans="2:23" ht="18.649999999999999" customHeight="1" x14ac:dyDescent="0.55000000000000004">
      <c r="B57" s="233"/>
      <c r="C57" s="257">
        <f>vzor_A!H187</f>
        <v>0</v>
      </c>
      <c r="D57" s="244"/>
      <c r="E57" s="246"/>
      <c r="F57" s="469" t="str">
        <f>vzor_A!N189</f>
        <v/>
      </c>
      <c r="G57" s="470" t="str">
        <f>IF(vzor_A!AE189="","",vzor_A!AE189)</f>
        <v/>
      </c>
      <c r="H57" s="229"/>
      <c r="I57" s="130"/>
      <c r="J57" s="145"/>
      <c r="K57" s="133"/>
      <c r="L57" s="133"/>
      <c r="M57" s="133"/>
      <c r="N57" s="130"/>
      <c r="O57" s="235"/>
      <c r="Q57" s="515"/>
      <c r="R57" s="516"/>
      <c r="S57" s="516"/>
      <c r="T57" s="516"/>
      <c r="U57" s="516"/>
      <c r="V57" s="516"/>
      <c r="W57" s="517"/>
    </row>
    <row r="58" spans="2:23" ht="18.649999999999999" customHeight="1" x14ac:dyDescent="0.5">
      <c r="B58" s="233"/>
      <c r="C58" s="130"/>
      <c r="D58" s="245"/>
      <c r="E58" s="130"/>
      <c r="F58" s="469"/>
      <c r="G58" s="470"/>
      <c r="H58" s="229"/>
      <c r="I58" s="130"/>
      <c r="J58" s="145"/>
      <c r="K58" s="133"/>
      <c r="L58" s="133"/>
      <c r="M58" s="133"/>
      <c r="N58" s="130"/>
      <c r="O58" s="235"/>
      <c r="Q58" s="515"/>
      <c r="R58" s="516"/>
      <c r="S58" s="516"/>
      <c r="T58" s="516"/>
      <c r="U58" s="516"/>
      <c r="V58" s="516"/>
      <c r="W58" s="517"/>
    </row>
    <row r="59" spans="2:23" ht="18.649999999999999" customHeight="1" x14ac:dyDescent="0.55000000000000004">
      <c r="B59" s="233"/>
      <c r="C59" s="485" t="str">
        <f>vzor_A!H193</f>
        <v/>
      </c>
      <c r="D59" s="486" t="str">
        <f>IF(vzor_A!J193="","",vzor_A!J193)</f>
        <v/>
      </c>
      <c r="E59" s="239"/>
      <c r="F59" s="254">
        <f>vzor_A!N191</f>
        <v>0</v>
      </c>
      <c r="G59" s="215"/>
      <c r="H59" s="149"/>
      <c r="I59" s="149"/>
      <c r="J59" s="145"/>
      <c r="K59" s="133"/>
      <c r="L59" s="133"/>
      <c r="M59" s="133"/>
      <c r="N59" s="130"/>
      <c r="O59" s="235"/>
      <c r="Q59" s="515"/>
      <c r="R59" s="516"/>
      <c r="S59" s="516"/>
      <c r="T59" s="516"/>
      <c r="U59" s="516"/>
      <c r="V59" s="516"/>
      <c r="W59" s="517"/>
    </row>
    <row r="60" spans="2:23" ht="18.649999999999999" customHeight="1" x14ac:dyDescent="0.55000000000000004">
      <c r="B60" s="233"/>
      <c r="C60" s="485"/>
      <c r="D60" s="486"/>
      <c r="E60" s="239"/>
      <c r="F60" s="149"/>
      <c r="G60" s="215"/>
      <c r="H60" s="149"/>
      <c r="I60" s="149"/>
      <c r="J60" s="145"/>
      <c r="K60" s="133"/>
      <c r="L60" s="133"/>
      <c r="M60" s="255" t="s">
        <v>225</v>
      </c>
      <c r="N60" s="130"/>
      <c r="O60" s="235"/>
      <c r="Q60" s="515"/>
      <c r="R60" s="516"/>
      <c r="S60" s="516"/>
      <c r="T60" s="516"/>
      <c r="U60" s="516"/>
      <c r="V60" s="516"/>
      <c r="W60" s="517"/>
    </row>
    <row r="61" spans="2:23" ht="18.649999999999999" customHeight="1" x14ac:dyDescent="0.55000000000000004">
      <c r="B61" s="233"/>
      <c r="C61" s="257">
        <f>vzor_A!H195</f>
        <v>0</v>
      </c>
      <c r="D61" s="144"/>
      <c r="E61" s="144"/>
      <c r="F61" s="149"/>
      <c r="G61" s="216"/>
      <c r="H61" s="247"/>
      <c r="I61" s="469" t="str">
        <f>vzor_A!AF197</f>
        <v/>
      </c>
      <c r="J61" s="477" t="str">
        <f>IF(vzor_A!AM197="","",vzor_A!AM197)</f>
        <v/>
      </c>
      <c r="K61" s="229"/>
      <c r="L61" s="494" t="s">
        <v>154</v>
      </c>
      <c r="M61" s="496" t="str">
        <f>vzor_A!AJ151</f>
        <v/>
      </c>
      <c r="N61" s="498" t="str">
        <f>IF(vzor_A!AP151="","",vzor_A!AP151)</f>
        <v>1.</v>
      </c>
      <c r="O61" s="235"/>
      <c r="Q61" s="515"/>
      <c r="R61" s="516"/>
      <c r="S61" s="516"/>
      <c r="T61" s="516"/>
      <c r="U61" s="516"/>
      <c r="V61" s="516"/>
      <c r="W61" s="517"/>
    </row>
    <row r="62" spans="2:23" ht="18.649999999999999" customHeight="1" x14ac:dyDescent="0.5">
      <c r="B62" s="233"/>
      <c r="C62" s="149"/>
      <c r="D62" s="149"/>
      <c r="E62" s="149"/>
      <c r="F62" s="149"/>
      <c r="G62" s="216"/>
      <c r="H62" s="216"/>
      <c r="I62" s="469"/>
      <c r="J62" s="478"/>
      <c r="K62" s="229"/>
      <c r="L62" s="495"/>
      <c r="M62" s="497"/>
      <c r="N62" s="499"/>
      <c r="O62" s="235"/>
      <c r="Q62" s="515"/>
      <c r="R62" s="516"/>
      <c r="S62" s="516"/>
      <c r="T62" s="516"/>
      <c r="U62" s="516"/>
      <c r="V62" s="516"/>
      <c r="W62" s="517"/>
    </row>
    <row r="63" spans="2:23" ht="18.649999999999999" customHeight="1" x14ac:dyDescent="0.55000000000000004">
      <c r="B63" s="233"/>
      <c r="C63" s="469" t="str">
        <f>vzor_A!H201</f>
        <v/>
      </c>
      <c r="D63" s="470" t="str">
        <f>IF(vzor_A!J201="","",vzor_A!J201)</f>
        <v/>
      </c>
      <c r="E63" s="229"/>
      <c r="F63" s="138"/>
      <c r="G63" s="213"/>
      <c r="H63" s="243"/>
      <c r="I63" s="254">
        <f>vzor_A!AF199</f>
        <v>0</v>
      </c>
      <c r="J63" s="133"/>
      <c r="K63" s="133"/>
      <c r="L63" s="133"/>
      <c r="M63" s="258">
        <f>vzor_A!AJ153</f>
        <v>0</v>
      </c>
      <c r="N63" s="130"/>
      <c r="O63" s="235"/>
      <c r="Q63" s="515"/>
      <c r="R63" s="516"/>
      <c r="S63" s="516"/>
      <c r="T63" s="516"/>
      <c r="U63" s="516"/>
      <c r="V63" s="516"/>
      <c r="W63" s="517"/>
    </row>
    <row r="64" spans="2:23" ht="18.649999999999999" customHeight="1" x14ac:dyDescent="0.5">
      <c r="B64" s="233"/>
      <c r="C64" s="469"/>
      <c r="D64" s="470"/>
      <c r="E64" s="229"/>
      <c r="F64" s="138"/>
      <c r="G64" s="215"/>
      <c r="H64" s="149"/>
      <c r="I64" s="149"/>
      <c r="J64" s="133"/>
      <c r="K64" s="133"/>
      <c r="L64" s="494" t="s">
        <v>160</v>
      </c>
      <c r="M64" s="496" t="str">
        <f>vzor_A!AJ155</f>
        <v/>
      </c>
      <c r="N64" s="498" t="str">
        <f>IF(vzor_A!AP155="","",vzor_A!AP155)</f>
        <v>2.</v>
      </c>
      <c r="O64" s="235"/>
      <c r="Q64" s="515"/>
      <c r="R64" s="516"/>
      <c r="S64" s="516"/>
      <c r="T64" s="516"/>
      <c r="U64" s="516"/>
      <c r="V64" s="516"/>
      <c r="W64" s="517"/>
    </row>
    <row r="65" spans="2:23" ht="18.649999999999999" customHeight="1" x14ac:dyDescent="0.55000000000000004">
      <c r="B65" s="233"/>
      <c r="C65" s="257">
        <f>vzor_A!H203</f>
        <v>0</v>
      </c>
      <c r="D65" s="244"/>
      <c r="E65" s="246"/>
      <c r="F65" s="469" t="str">
        <f>vzor_A!N205</f>
        <v/>
      </c>
      <c r="G65" s="470" t="str">
        <f>IF(vzor_A!AE205="","",vzor_A!AE205)</f>
        <v/>
      </c>
      <c r="H65" s="229"/>
      <c r="I65" s="149"/>
      <c r="J65" s="133"/>
      <c r="K65" s="133"/>
      <c r="L65" s="495"/>
      <c r="M65" s="497"/>
      <c r="N65" s="499"/>
      <c r="O65" s="235"/>
      <c r="Q65" s="515"/>
      <c r="R65" s="516"/>
      <c r="S65" s="516"/>
      <c r="T65" s="516"/>
      <c r="U65" s="516"/>
      <c r="V65" s="516"/>
      <c r="W65" s="517"/>
    </row>
    <row r="66" spans="2:23" ht="18.649999999999999" customHeight="1" x14ac:dyDescent="0.5">
      <c r="B66" s="233"/>
      <c r="C66" s="158"/>
      <c r="D66" s="245"/>
      <c r="E66" s="130"/>
      <c r="F66" s="469"/>
      <c r="G66" s="470"/>
      <c r="H66" s="229"/>
      <c r="I66" s="149"/>
      <c r="J66" s="133"/>
      <c r="K66" s="133"/>
      <c r="L66" s="133"/>
      <c r="M66" s="258">
        <f>vzor_A!AJ157</f>
        <v>0</v>
      </c>
      <c r="N66" s="130"/>
      <c r="O66" s="235"/>
      <c r="Q66" s="515"/>
      <c r="R66" s="516"/>
      <c r="S66" s="516"/>
      <c r="T66" s="516"/>
      <c r="U66" s="516"/>
      <c r="V66" s="516"/>
      <c r="W66" s="517"/>
    </row>
    <row r="67" spans="2:23" ht="18.649999999999999" customHeight="1" x14ac:dyDescent="0.55000000000000004">
      <c r="B67" s="233"/>
      <c r="C67" s="485" t="str">
        <f>vzor_A!H209</f>
        <v/>
      </c>
      <c r="D67" s="486" t="str">
        <f>IF(vzor_A!J209="","",vzor_A!J209)</f>
        <v/>
      </c>
      <c r="E67" s="239"/>
      <c r="F67" s="254">
        <f>vzor_A!N207</f>
        <v>0</v>
      </c>
      <c r="G67" s="149"/>
      <c r="H67" s="149"/>
      <c r="I67" s="149"/>
      <c r="J67" s="226"/>
      <c r="K67" s="226"/>
      <c r="L67" s="494" t="s">
        <v>163</v>
      </c>
      <c r="M67" s="496" t="str">
        <f>vzor_A!AJ159</f>
        <v/>
      </c>
      <c r="N67" s="498" t="str">
        <f>IF(vzor_A!AP159="","",vzor_A!AP159)</f>
        <v>3.</v>
      </c>
      <c r="O67" s="235"/>
      <c r="Q67" s="515"/>
      <c r="R67" s="516"/>
      <c r="S67" s="516"/>
      <c r="T67" s="516"/>
      <c r="U67" s="516"/>
      <c r="V67" s="516"/>
      <c r="W67" s="517"/>
    </row>
    <row r="68" spans="2:23" ht="18.649999999999999" customHeight="1" x14ac:dyDescent="0.4">
      <c r="B68" s="233"/>
      <c r="C68" s="485"/>
      <c r="D68" s="486"/>
      <c r="E68" s="239"/>
      <c r="F68" s="149"/>
      <c r="G68" s="149"/>
      <c r="H68" s="149"/>
      <c r="I68" s="149"/>
      <c r="J68" s="226"/>
      <c r="K68" s="226"/>
      <c r="L68" s="495"/>
      <c r="M68" s="497"/>
      <c r="N68" s="499"/>
      <c r="O68" s="236"/>
      <c r="Q68" s="515"/>
      <c r="R68" s="516"/>
      <c r="S68" s="516"/>
      <c r="T68" s="516"/>
      <c r="U68" s="516"/>
      <c r="V68" s="516"/>
      <c r="W68" s="517"/>
    </row>
    <row r="69" spans="2:23" ht="20.6" customHeight="1" x14ac:dyDescent="0.55000000000000004">
      <c r="B69" s="233"/>
      <c r="C69" s="257">
        <f>vzor_A!H211</f>
        <v>0</v>
      </c>
      <c r="D69" s="144"/>
      <c r="E69" s="144"/>
      <c r="F69" s="149"/>
      <c r="G69" s="149"/>
      <c r="H69" s="149"/>
      <c r="I69" s="149"/>
      <c r="J69" s="226"/>
      <c r="K69" s="226"/>
      <c r="L69" s="133"/>
      <c r="M69" s="258">
        <f>vzor_A!AJ161</f>
        <v>0</v>
      </c>
      <c r="N69" s="133"/>
      <c r="O69" s="248"/>
      <c r="Q69" s="515"/>
      <c r="R69" s="516"/>
      <c r="S69" s="516"/>
      <c r="T69" s="516"/>
      <c r="U69" s="516"/>
      <c r="V69" s="516"/>
      <c r="W69" s="517"/>
    </row>
    <row r="70" spans="2:23" ht="20.6" customHeight="1" x14ac:dyDescent="0.5">
      <c r="B70" s="233"/>
      <c r="C70" s="241"/>
      <c r="D70" s="144"/>
      <c r="E70" s="144"/>
      <c r="F70" s="149"/>
      <c r="G70" s="149"/>
      <c r="H70" s="149"/>
      <c r="I70" s="149"/>
      <c r="J70" s="226"/>
      <c r="K70" s="226"/>
      <c r="L70" s="133"/>
      <c r="M70" s="133"/>
      <c r="N70" s="133"/>
      <c r="O70" s="248"/>
      <c r="Q70" s="515"/>
      <c r="R70" s="516"/>
      <c r="S70" s="516"/>
      <c r="T70" s="516"/>
      <c r="U70" s="516"/>
      <c r="V70" s="516"/>
      <c r="W70" s="517"/>
    </row>
    <row r="71" spans="2:23" ht="18.649999999999999" customHeight="1" x14ac:dyDescent="0.5">
      <c r="B71" s="251"/>
      <c r="C71" s="242"/>
      <c r="D71" s="237"/>
      <c r="E71" s="237"/>
      <c r="F71" s="249"/>
      <c r="G71" s="249"/>
      <c r="H71" s="249"/>
      <c r="I71" s="249"/>
      <c r="J71" s="227"/>
      <c r="K71" s="227"/>
      <c r="L71" s="250"/>
      <c r="M71" s="250"/>
      <c r="N71" s="250"/>
      <c r="O71" s="238"/>
      <c r="Q71" s="518"/>
      <c r="R71" s="519"/>
      <c r="S71" s="519"/>
      <c r="T71" s="519"/>
      <c r="U71" s="519"/>
      <c r="V71" s="519"/>
      <c r="W71" s="520"/>
    </row>
    <row r="72" spans="2:23" ht="18.649999999999999" customHeight="1" x14ac:dyDescent="0.5">
      <c r="C72" s="241"/>
      <c r="D72" s="144"/>
      <c r="E72" s="144"/>
      <c r="F72" s="149"/>
      <c r="G72" s="149"/>
      <c r="H72" s="149"/>
      <c r="I72" s="149"/>
      <c r="J72" s="226"/>
      <c r="K72" s="226"/>
      <c r="L72" s="226"/>
      <c r="M72" s="226"/>
      <c r="N72" s="228"/>
      <c r="O72" s="228"/>
    </row>
    <row r="73" spans="2:23" ht="18.45" x14ac:dyDescent="0.5">
      <c r="C73" s="131"/>
      <c r="D73" s="130"/>
      <c r="E73" s="130"/>
      <c r="F73" s="133"/>
      <c r="G73" s="130"/>
      <c r="H73" s="130"/>
      <c r="I73" s="130"/>
      <c r="J73" s="14"/>
      <c r="K73" s="14"/>
      <c r="L73" s="14"/>
      <c r="M73" s="14"/>
      <c r="N73" s="130"/>
      <c r="O73" s="134"/>
    </row>
    <row r="74" spans="2:23" ht="27" customHeight="1" x14ac:dyDescent="0.55000000000000004">
      <c r="B74" s="230"/>
      <c r="C74" s="259" t="s">
        <v>224</v>
      </c>
      <c r="D74" s="231"/>
      <c r="E74" s="231"/>
      <c r="F74" s="232"/>
      <c r="G74" s="231"/>
      <c r="H74" s="231"/>
      <c r="I74" s="231"/>
      <c r="J74" s="154"/>
      <c r="K74" s="154"/>
      <c r="L74" s="154"/>
      <c r="M74" s="154"/>
      <c r="N74" s="467"/>
      <c r="O74" s="468"/>
    </row>
    <row r="75" spans="2:23" ht="18.649999999999999" customHeight="1" x14ac:dyDescent="0.5">
      <c r="B75" s="233"/>
      <c r="C75" s="469" t="str">
        <f>vzor_A!B151</f>
        <v/>
      </c>
      <c r="D75" s="477" t="str">
        <f>IF(vzor_A!F151="","",vzor_A!F151)</f>
        <v/>
      </c>
      <c r="E75" s="229"/>
      <c r="F75" s="141"/>
      <c r="G75" s="130"/>
      <c r="H75" s="130"/>
      <c r="I75" s="130"/>
      <c r="J75" s="133"/>
      <c r="K75" s="133"/>
      <c r="L75" s="471">
        <f>vzor_A!$B$8</f>
        <v>0</v>
      </c>
      <c r="M75" s="472"/>
      <c r="N75" s="473"/>
      <c r="O75" s="234"/>
      <c r="Q75" s="511" t="s">
        <v>289</v>
      </c>
      <c r="R75" s="503"/>
      <c r="S75" s="503"/>
      <c r="T75" s="503"/>
      <c r="U75" s="503"/>
      <c r="V75" s="503"/>
      <c r="W75" s="504"/>
    </row>
    <row r="76" spans="2:23" ht="18.649999999999999" customHeight="1" x14ac:dyDescent="0.55000000000000004">
      <c r="B76" s="233"/>
      <c r="C76" s="469"/>
      <c r="D76" s="478"/>
      <c r="E76" s="229"/>
      <c r="F76" s="255" t="s">
        <v>224</v>
      </c>
      <c r="G76" s="130"/>
      <c r="H76" s="130"/>
      <c r="I76" s="130"/>
      <c r="J76" s="133"/>
      <c r="K76" s="133"/>
      <c r="L76" s="474"/>
      <c r="M76" s="475"/>
      <c r="N76" s="476"/>
      <c r="O76" s="234"/>
      <c r="Q76" s="505"/>
      <c r="R76" s="506"/>
      <c r="S76" s="506"/>
      <c r="T76" s="506"/>
      <c r="U76" s="506"/>
      <c r="V76" s="506"/>
      <c r="W76" s="507"/>
    </row>
    <row r="77" spans="2:23" ht="18.649999999999999" customHeight="1" x14ac:dyDescent="0.55000000000000004">
      <c r="B77" s="233"/>
      <c r="C77" s="257">
        <f>vzor_A!B153</f>
        <v>0</v>
      </c>
      <c r="D77" s="244"/>
      <c r="E77" s="246"/>
      <c r="F77" s="469" t="str">
        <f>vzor_A!H153</f>
        <v/>
      </c>
      <c r="G77" s="477" t="str">
        <f>IF(vzor_A!J153="","",vzor_A!J153)</f>
        <v/>
      </c>
      <c r="H77" s="229"/>
      <c r="I77" s="130"/>
      <c r="J77" s="133"/>
      <c r="K77" s="133"/>
      <c r="L77" s="479">
        <f>vzor_A!$B$14</f>
        <v>0</v>
      </c>
      <c r="M77" s="480"/>
      <c r="N77" s="481"/>
      <c r="O77" s="234"/>
      <c r="Q77" s="505"/>
      <c r="R77" s="506"/>
      <c r="S77" s="506"/>
      <c r="T77" s="506"/>
      <c r="U77" s="506"/>
      <c r="V77" s="506"/>
      <c r="W77" s="507"/>
    </row>
    <row r="78" spans="2:23" ht="18.649999999999999" customHeight="1" x14ac:dyDescent="0.5">
      <c r="B78" s="233"/>
      <c r="C78" s="130"/>
      <c r="D78" s="245"/>
      <c r="E78" s="130"/>
      <c r="F78" s="469"/>
      <c r="G78" s="478"/>
      <c r="H78" s="229"/>
      <c r="I78" s="130"/>
      <c r="J78" s="133"/>
      <c r="K78" s="133"/>
      <c r="L78" s="482"/>
      <c r="M78" s="483"/>
      <c r="N78" s="484"/>
      <c r="O78" s="234"/>
      <c r="Q78" s="508"/>
      <c r="R78" s="509"/>
      <c r="S78" s="509"/>
      <c r="T78" s="509"/>
      <c r="U78" s="509"/>
      <c r="V78" s="509"/>
      <c r="W78" s="510"/>
    </row>
    <row r="79" spans="2:23" ht="18.649999999999999" customHeight="1" x14ac:dyDescent="0.55000000000000004">
      <c r="B79" s="233"/>
      <c r="C79" s="469" t="str">
        <f>vzor_A!B155</f>
        <v/>
      </c>
      <c r="D79" s="477" t="str">
        <f>IF(vzor_A!F155="","",vzor_A!F155)</f>
        <v/>
      </c>
      <c r="E79" s="239"/>
      <c r="F79" s="254">
        <f>vzor_A!H155</f>
        <v>0</v>
      </c>
      <c r="G79" s="215"/>
      <c r="H79" s="149"/>
      <c r="I79" s="149"/>
      <c r="J79" s="133"/>
      <c r="K79" s="133"/>
      <c r="L79" s="521" t="s">
        <v>292</v>
      </c>
      <c r="M79" s="522"/>
      <c r="N79" s="523"/>
      <c r="O79" s="234"/>
    </row>
    <row r="80" spans="2:23" ht="18.649999999999999" customHeight="1" x14ac:dyDescent="0.55000000000000004">
      <c r="B80" s="233"/>
      <c r="C80" s="469"/>
      <c r="D80" s="478"/>
      <c r="E80" s="239"/>
      <c r="F80" s="262"/>
      <c r="G80" s="215"/>
      <c r="H80" s="149"/>
      <c r="I80" s="260" t="s">
        <v>224</v>
      </c>
      <c r="J80" s="133"/>
      <c r="K80" s="133"/>
      <c r="L80" s="524"/>
      <c r="M80" s="525"/>
      <c r="N80" s="526"/>
      <c r="O80" s="234"/>
      <c r="Q80" s="512">
        <v>3</v>
      </c>
      <c r="R80" s="513"/>
      <c r="S80" s="513"/>
      <c r="T80" s="513"/>
      <c r="U80" s="513"/>
      <c r="V80" s="513"/>
      <c r="W80" s="514"/>
    </row>
    <row r="81" spans="2:23" ht="18.649999999999999" customHeight="1" x14ac:dyDescent="0.55000000000000004">
      <c r="B81" s="233"/>
      <c r="C81" s="257">
        <f>vzor_A!B157</f>
        <v>0</v>
      </c>
      <c r="D81" s="264"/>
      <c r="E81" s="149"/>
      <c r="F81" s="149"/>
      <c r="G81" s="216"/>
      <c r="H81" s="247"/>
      <c r="I81" s="500" t="str">
        <f>vzor_A!N157</f>
        <v/>
      </c>
      <c r="J81" s="501"/>
      <c r="K81" s="229"/>
      <c r="L81" s="229"/>
      <c r="M81" s="133"/>
      <c r="O81" s="234"/>
      <c r="Q81" s="515"/>
      <c r="R81" s="516"/>
      <c r="S81" s="516"/>
      <c r="T81" s="516"/>
      <c r="U81" s="516"/>
      <c r="V81" s="516"/>
      <c r="W81" s="517"/>
    </row>
    <row r="82" spans="2:23" ht="18.649999999999999" customHeight="1" x14ac:dyDescent="0.5">
      <c r="B82" s="233"/>
      <c r="C82" s="151"/>
      <c r="D82" s="149"/>
      <c r="E82" s="149"/>
      <c r="F82" s="149"/>
      <c r="G82" s="216"/>
      <c r="H82" s="150"/>
      <c r="I82" s="500"/>
      <c r="J82" s="501"/>
      <c r="K82" s="229"/>
      <c r="L82" s="229"/>
      <c r="M82" s="133"/>
      <c r="O82" s="234"/>
      <c r="Q82" s="515"/>
      <c r="R82" s="516"/>
      <c r="S82" s="516"/>
      <c r="T82" s="516"/>
      <c r="U82" s="516"/>
      <c r="V82" s="516"/>
      <c r="W82" s="517"/>
    </row>
    <row r="83" spans="2:23" ht="18.649999999999999" customHeight="1" x14ac:dyDescent="0.55000000000000004">
      <c r="B83" s="233"/>
      <c r="C83" s="469" t="str">
        <f>vzor_A!B159</f>
        <v/>
      </c>
      <c r="D83" s="477" t="str">
        <f>IF(vzor_A!F159="","",vzor_A!F159)</f>
        <v/>
      </c>
      <c r="E83" s="229"/>
      <c r="F83" s="138"/>
      <c r="G83" s="213"/>
      <c r="H83" s="243"/>
      <c r="I83" s="254">
        <f>vzor_A!N159</f>
        <v>0</v>
      </c>
      <c r="J83" s="133"/>
      <c r="K83" s="133"/>
      <c r="L83" s="133"/>
      <c r="M83" s="133"/>
      <c r="O83" s="234"/>
      <c r="Q83" s="515"/>
      <c r="R83" s="516"/>
      <c r="S83" s="516"/>
      <c r="T83" s="516"/>
      <c r="U83" s="516"/>
      <c r="V83" s="516"/>
      <c r="W83" s="517"/>
    </row>
    <row r="84" spans="2:23" ht="18.649999999999999" customHeight="1" x14ac:dyDescent="0.5">
      <c r="B84" s="233"/>
      <c r="C84" s="469"/>
      <c r="D84" s="478"/>
      <c r="E84" s="229"/>
      <c r="F84" s="138"/>
      <c r="G84" s="215"/>
      <c r="H84" s="149"/>
      <c r="I84" s="149"/>
      <c r="J84" s="133"/>
      <c r="K84" s="133"/>
      <c r="L84" s="133"/>
      <c r="M84" s="133"/>
      <c r="O84" s="234"/>
      <c r="Q84" s="515"/>
      <c r="R84" s="516"/>
      <c r="S84" s="516"/>
      <c r="T84" s="516"/>
      <c r="U84" s="516"/>
      <c r="V84" s="516"/>
      <c r="W84" s="517"/>
    </row>
    <row r="85" spans="2:23" ht="18.649999999999999" customHeight="1" x14ac:dyDescent="0.55000000000000004">
      <c r="B85" s="233"/>
      <c r="C85" s="257">
        <f>vzor_A!B161</f>
        <v>0</v>
      </c>
      <c r="D85" s="244"/>
      <c r="E85" s="246"/>
      <c r="F85" s="469" t="str">
        <f>vzor_A!H161</f>
        <v/>
      </c>
      <c r="G85" s="477" t="str">
        <f>IF(vzor_A!J161="","",vzor_A!J161)</f>
        <v/>
      </c>
      <c r="H85" s="229"/>
      <c r="I85" s="149"/>
      <c r="J85" s="133"/>
      <c r="K85" s="133"/>
      <c r="L85" s="133"/>
      <c r="M85" s="133"/>
      <c r="O85" s="234"/>
      <c r="Q85" s="515"/>
      <c r="R85" s="516"/>
      <c r="S85" s="516"/>
      <c r="T85" s="516"/>
      <c r="U85" s="516"/>
      <c r="V85" s="516"/>
      <c r="W85" s="517"/>
    </row>
    <row r="86" spans="2:23" ht="18.649999999999999" customHeight="1" x14ac:dyDescent="0.5">
      <c r="B86" s="233"/>
      <c r="C86" s="130"/>
      <c r="D86" s="245"/>
      <c r="E86" s="130"/>
      <c r="F86" s="469"/>
      <c r="G86" s="478"/>
      <c r="H86" s="229"/>
      <c r="I86" s="149"/>
      <c r="J86" s="133"/>
      <c r="K86" s="133"/>
      <c r="L86" s="133"/>
      <c r="M86" s="133"/>
      <c r="O86" s="234"/>
      <c r="Q86" s="515"/>
      <c r="R86" s="516"/>
      <c r="S86" s="516"/>
      <c r="T86" s="516"/>
      <c r="U86" s="516"/>
      <c r="V86" s="516"/>
      <c r="W86" s="517"/>
    </row>
    <row r="87" spans="2:23" ht="18.649999999999999" customHeight="1" x14ac:dyDescent="0.55000000000000004">
      <c r="B87" s="233"/>
      <c r="C87" s="469" t="str">
        <f>vzor_A!B163</f>
        <v/>
      </c>
      <c r="D87" s="477" t="str">
        <f>IF(vzor_A!F163="","",vzor_A!F163)</f>
        <v/>
      </c>
      <c r="E87" s="239"/>
      <c r="F87" s="254">
        <f>vzor_A!H163</f>
        <v>0</v>
      </c>
      <c r="G87" s="149"/>
      <c r="H87" s="149"/>
      <c r="I87" s="149"/>
      <c r="J87" s="133"/>
      <c r="K87" s="133"/>
      <c r="L87" s="133"/>
      <c r="M87" s="133"/>
      <c r="N87" s="130"/>
      <c r="O87" s="235"/>
      <c r="Q87" s="515"/>
      <c r="R87" s="516"/>
      <c r="S87" s="516"/>
      <c r="T87" s="516"/>
      <c r="U87" s="516"/>
      <c r="V87" s="516"/>
      <c r="W87" s="517"/>
    </row>
    <row r="88" spans="2:23" ht="18.649999999999999" customHeight="1" x14ac:dyDescent="0.55000000000000004">
      <c r="B88" s="233"/>
      <c r="C88" s="469"/>
      <c r="D88" s="478"/>
      <c r="E88" s="239"/>
      <c r="F88" s="149"/>
      <c r="G88" s="149"/>
      <c r="H88" s="149"/>
      <c r="I88" s="149"/>
      <c r="J88" s="133"/>
      <c r="K88" s="133"/>
      <c r="L88" s="265"/>
      <c r="M88" s="265"/>
      <c r="N88" s="265"/>
      <c r="O88" s="235"/>
      <c r="Q88" s="515"/>
      <c r="R88" s="516"/>
      <c r="S88" s="516"/>
      <c r="T88" s="516"/>
      <c r="U88" s="516"/>
      <c r="V88" s="516"/>
      <c r="W88" s="517"/>
    </row>
    <row r="89" spans="2:23" ht="18.649999999999999" customHeight="1" x14ac:dyDescent="0.55000000000000004">
      <c r="B89" s="233"/>
      <c r="C89" s="257">
        <f>vzor_A!B165</f>
        <v>0</v>
      </c>
      <c r="D89" s="264"/>
      <c r="E89" s="144"/>
      <c r="F89" s="149"/>
      <c r="G89" s="149"/>
      <c r="H89" s="149"/>
      <c r="I89" s="149"/>
      <c r="J89" s="133"/>
      <c r="K89" s="133"/>
      <c r="L89" s="266"/>
      <c r="M89" s="266"/>
      <c r="N89" s="266"/>
      <c r="O89" s="235"/>
      <c r="Q89" s="515"/>
      <c r="R89" s="516"/>
      <c r="S89" s="516"/>
      <c r="T89" s="516"/>
      <c r="U89" s="516"/>
      <c r="V89" s="516"/>
      <c r="W89" s="517"/>
    </row>
    <row r="90" spans="2:23" ht="18.649999999999999" customHeight="1" x14ac:dyDescent="0.5">
      <c r="B90" s="233"/>
      <c r="C90" s="149"/>
      <c r="D90" s="149"/>
      <c r="E90" s="149"/>
      <c r="F90" s="149"/>
      <c r="G90" s="149"/>
      <c r="H90" s="149"/>
      <c r="I90" s="149"/>
      <c r="J90" s="133"/>
      <c r="K90" s="133"/>
      <c r="L90" s="266"/>
      <c r="M90" s="266"/>
      <c r="N90" s="266"/>
      <c r="O90" s="235"/>
      <c r="Q90" s="515"/>
      <c r="R90" s="516"/>
      <c r="S90" s="516"/>
      <c r="T90" s="516"/>
      <c r="U90" s="516"/>
      <c r="V90" s="516"/>
      <c r="W90" s="517"/>
    </row>
    <row r="91" spans="2:23" ht="18.649999999999999" customHeight="1" x14ac:dyDescent="0.5">
      <c r="B91" s="233"/>
      <c r="C91" s="469" t="str">
        <f>vzor_A!B167</f>
        <v/>
      </c>
      <c r="D91" s="477" t="str">
        <f>IF(vzor_A!F167="","",vzor_A!F167)</f>
        <v/>
      </c>
      <c r="E91" s="229"/>
      <c r="F91" s="138"/>
      <c r="G91" s="130"/>
      <c r="H91" s="130"/>
      <c r="I91" s="130"/>
      <c r="J91" s="133"/>
      <c r="K91" s="133"/>
      <c r="L91" s="133"/>
      <c r="M91" s="241"/>
      <c r="N91" s="130"/>
      <c r="O91" s="235"/>
      <c r="Q91" s="515"/>
      <c r="R91" s="516"/>
      <c r="S91" s="516"/>
      <c r="T91" s="516"/>
      <c r="U91" s="516"/>
      <c r="V91" s="516"/>
      <c r="W91" s="517"/>
    </row>
    <row r="92" spans="2:23" ht="18.649999999999999" customHeight="1" x14ac:dyDescent="0.5">
      <c r="B92" s="233"/>
      <c r="C92" s="469"/>
      <c r="D92" s="478"/>
      <c r="E92" s="229"/>
      <c r="F92" s="138"/>
      <c r="G92" s="130"/>
      <c r="H92" s="130"/>
      <c r="I92" s="130"/>
      <c r="J92" s="133"/>
      <c r="K92" s="133"/>
      <c r="L92" s="133"/>
      <c r="M92" s="133"/>
      <c r="N92" s="130"/>
      <c r="O92" s="235"/>
      <c r="Q92" s="515"/>
      <c r="R92" s="516"/>
      <c r="S92" s="516"/>
      <c r="T92" s="516"/>
      <c r="U92" s="516"/>
      <c r="V92" s="516"/>
      <c r="W92" s="517"/>
    </row>
    <row r="93" spans="2:23" ht="18.649999999999999" customHeight="1" x14ac:dyDescent="0.55000000000000004">
      <c r="B93" s="233"/>
      <c r="C93" s="257">
        <f>vzor_A!B169</f>
        <v>0</v>
      </c>
      <c r="D93" s="244"/>
      <c r="E93" s="246"/>
      <c r="F93" s="469" t="str">
        <f>vzor_A!H169</f>
        <v/>
      </c>
      <c r="G93" s="477" t="str">
        <f>IF(vzor_A!J169="","",vzor_A!J169)</f>
        <v/>
      </c>
      <c r="H93" s="229"/>
      <c r="I93" s="130"/>
      <c r="J93" s="133"/>
      <c r="K93" s="133"/>
      <c r="L93" s="133"/>
      <c r="M93" s="133"/>
      <c r="N93" s="130"/>
      <c r="O93" s="235"/>
      <c r="Q93" s="515"/>
      <c r="R93" s="516"/>
      <c r="S93" s="516"/>
      <c r="T93" s="516"/>
      <c r="U93" s="516"/>
      <c r="V93" s="516"/>
      <c r="W93" s="517"/>
    </row>
    <row r="94" spans="2:23" ht="18.649999999999999" customHeight="1" x14ac:dyDescent="0.5">
      <c r="B94" s="233"/>
      <c r="C94" s="130"/>
      <c r="D94" s="245"/>
      <c r="E94" s="130"/>
      <c r="F94" s="469"/>
      <c r="G94" s="478"/>
      <c r="H94" s="229"/>
      <c r="I94" s="130"/>
      <c r="J94" s="133"/>
      <c r="K94" s="133"/>
      <c r="L94" s="133"/>
      <c r="M94" s="133"/>
      <c r="N94" s="130"/>
      <c r="O94" s="235"/>
      <c r="Q94" s="515"/>
      <c r="R94" s="516"/>
      <c r="S94" s="516"/>
      <c r="T94" s="516"/>
      <c r="U94" s="516"/>
      <c r="V94" s="516"/>
      <c r="W94" s="517"/>
    </row>
    <row r="95" spans="2:23" ht="18.649999999999999" customHeight="1" x14ac:dyDescent="0.55000000000000004">
      <c r="B95" s="233"/>
      <c r="C95" s="469" t="str">
        <f>vzor_A!B171</f>
        <v/>
      </c>
      <c r="D95" s="477" t="str">
        <f>IF(vzor_A!F171="","",vzor_A!F171)</f>
        <v/>
      </c>
      <c r="E95" s="239"/>
      <c r="F95" s="254">
        <f>vzor_A!H171</f>
        <v>0</v>
      </c>
      <c r="G95" s="215"/>
      <c r="H95" s="149"/>
      <c r="I95" s="149"/>
      <c r="J95" s="133"/>
      <c r="K95" s="133"/>
      <c r="L95" s="133"/>
      <c r="M95" s="133"/>
      <c r="N95" s="130"/>
      <c r="O95" s="235"/>
      <c r="Q95" s="515"/>
      <c r="R95" s="516"/>
      <c r="S95" s="516"/>
      <c r="T95" s="516"/>
      <c r="U95" s="516"/>
      <c r="V95" s="516"/>
      <c r="W95" s="517"/>
    </row>
    <row r="96" spans="2:23" ht="18.649999999999999" customHeight="1" x14ac:dyDescent="0.55000000000000004">
      <c r="B96" s="233"/>
      <c r="C96" s="469"/>
      <c r="D96" s="478"/>
      <c r="E96" s="239"/>
      <c r="F96" s="149"/>
      <c r="G96" s="215"/>
      <c r="H96" s="149"/>
      <c r="I96" s="149"/>
      <c r="J96" s="133"/>
      <c r="K96" s="133"/>
      <c r="L96" s="133"/>
      <c r="M96" s="255"/>
      <c r="N96" s="130"/>
      <c r="O96" s="235"/>
      <c r="Q96" s="515"/>
      <c r="R96" s="516"/>
      <c r="S96" s="516"/>
      <c r="T96" s="516"/>
      <c r="U96" s="516"/>
      <c r="V96" s="516"/>
      <c r="W96" s="517"/>
    </row>
    <row r="97" spans="2:23" ht="18.649999999999999" customHeight="1" x14ac:dyDescent="0.55000000000000004">
      <c r="B97" s="233"/>
      <c r="C97" s="257">
        <f>vzor_A!B173</f>
        <v>0</v>
      </c>
      <c r="D97" s="264"/>
      <c r="E97" s="144"/>
      <c r="F97" s="149"/>
      <c r="G97" s="216"/>
      <c r="H97" s="247"/>
      <c r="I97" s="500" t="str">
        <f>vzor_A!N173</f>
        <v/>
      </c>
      <c r="J97" s="501"/>
      <c r="K97" s="229"/>
      <c r="L97" s="267"/>
      <c r="M97" s="266"/>
      <c r="N97" s="268"/>
      <c r="O97" s="235"/>
      <c r="Q97" s="515"/>
      <c r="R97" s="516"/>
      <c r="S97" s="516"/>
      <c r="T97" s="516"/>
      <c r="U97" s="516"/>
      <c r="V97" s="516"/>
      <c r="W97" s="517"/>
    </row>
    <row r="98" spans="2:23" ht="18.649999999999999" customHeight="1" x14ac:dyDescent="0.5">
      <c r="B98" s="233"/>
      <c r="C98" s="149"/>
      <c r="D98" s="149"/>
      <c r="E98" s="149"/>
      <c r="F98" s="149"/>
      <c r="G98" s="216"/>
      <c r="H98" s="216"/>
      <c r="I98" s="500"/>
      <c r="J98" s="501"/>
      <c r="K98" s="229"/>
      <c r="L98" s="267"/>
      <c r="M98" s="266"/>
      <c r="N98" s="268"/>
      <c r="O98" s="235"/>
      <c r="Q98" s="515"/>
      <c r="R98" s="516"/>
      <c r="S98" s="516"/>
      <c r="T98" s="516"/>
      <c r="U98" s="516"/>
      <c r="V98" s="516"/>
      <c r="W98" s="517"/>
    </row>
    <row r="99" spans="2:23" ht="18.649999999999999" customHeight="1" x14ac:dyDescent="0.55000000000000004">
      <c r="B99" s="233"/>
      <c r="C99" s="469" t="str">
        <f>vzor_A!B175</f>
        <v/>
      </c>
      <c r="D99" s="477" t="str">
        <f>IF(vzor_A!F175="","",vzor_A!F175)</f>
        <v/>
      </c>
      <c r="E99" s="229"/>
      <c r="F99" s="138"/>
      <c r="G99" s="213"/>
      <c r="H99" s="243"/>
      <c r="I99" s="254">
        <f>vzor_A!N175</f>
        <v>0</v>
      </c>
      <c r="J99" s="133"/>
      <c r="K99" s="133"/>
      <c r="L99" s="133"/>
      <c r="M99" s="258"/>
      <c r="N99" s="130"/>
      <c r="O99" s="235"/>
      <c r="Q99" s="515"/>
      <c r="R99" s="516"/>
      <c r="S99" s="516"/>
      <c r="T99" s="516"/>
      <c r="U99" s="516"/>
      <c r="V99" s="516"/>
      <c r="W99" s="517"/>
    </row>
    <row r="100" spans="2:23" ht="18.649999999999999" customHeight="1" x14ac:dyDescent="0.5">
      <c r="B100" s="233"/>
      <c r="C100" s="469"/>
      <c r="D100" s="478"/>
      <c r="E100" s="229"/>
      <c r="F100" s="138"/>
      <c r="G100" s="215"/>
      <c r="H100" s="149"/>
      <c r="I100" s="149"/>
      <c r="J100" s="133"/>
      <c r="K100" s="133"/>
      <c r="L100" s="267"/>
      <c r="M100" s="266"/>
      <c r="N100" s="268"/>
      <c r="O100" s="235"/>
      <c r="Q100" s="515"/>
      <c r="R100" s="516"/>
      <c r="S100" s="516"/>
      <c r="T100" s="516"/>
      <c r="U100" s="516"/>
      <c r="V100" s="516"/>
      <c r="W100" s="517"/>
    </row>
    <row r="101" spans="2:23" ht="18.649999999999999" customHeight="1" x14ac:dyDescent="0.55000000000000004">
      <c r="B101" s="233"/>
      <c r="C101" s="257">
        <f>vzor_A!B177</f>
        <v>0</v>
      </c>
      <c r="D101" s="244"/>
      <c r="E101" s="246"/>
      <c r="F101" s="469" t="str">
        <f>vzor_A!H177</f>
        <v/>
      </c>
      <c r="G101" s="477" t="str">
        <f>IF(vzor_A!J177="","",vzor_A!J177)</f>
        <v/>
      </c>
      <c r="H101" s="229"/>
      <c r="I101" s="149"/>
      <c r="J101" s="133"/>
      <c r="K101" s="133"/>
      <c r="L101" s="267"/>
      <c r="M101" s="266"/>
      <c r="N101" s="268"/>
      <c r="O101" s="235"/>
      <c r="Q101" s="515"/>
      <c r="R101" s="516"/>
      <c r="S101" s="516"/>
      <c r="T101" s="516"/>
      <c r="U101" s="516"/>
      <c r="V101" s="516"/>
      <c r="W101" s="517"/>
    </row>
    <row r="102" spans="2:23" ht="18.649999999999999" customHeight="1" x14ac:dyDescent="0.5">
      <c r="B102" s="233"/>
      <c r="C102" s="158"/>
      <c r="D102" s="245"/>
      <c r="E102" s="130"/>
      <c r="F102" s="469"/>
      <c r="G102" s="478"/>
      <c r="H102" s="229"/>
      <c r="I102" s="149"/>
      <c r="J102" s="133"/>
      <c r="K102" s="133"/>
      <c r="L102" s="133"/>
      <c r="M102" s="258"/>
      <c r="N102" s="130"/>
      <c r="O102" s="235"/>
      <c r="Q102" s="515"/>
      <c r="R102" s="516"/>
      <c r="S102" s="516"/>
      <c r="T102" s="516"/>
      <c r="U102" s="516"/>
      <c r="V102" s="516"/>
      <c r="W102" s="517"/>
    </row>
    <row r="103" spans="2:23" ht="18.649999999999999" customHeight="1" x14ac:dyDescent="0.55000000000000004">
      <c r="B103" s="233"/>
      <c r="C103" s="469" t="str">
        <f>vzor_A!B179</f>
        <v/>
      </c>
      <c r="D103" s="477" t="str">
        <f>IF(vzor_A!F179="","",vzor_A!F179)</f>
        <v/>
      </c>
      <c r="E103" s="239"/>
      <c r="F103" s="254">
        <f>vzor_A!H179</f>
        <v>0</v>
      </c>
      <c r="G103" s="149"/>
      <c r="H103" s="149"/>
      <c r="I103" s="149"/>
      <c r="J103" s="226"/>
      <c r="K103" s="226"/>
      <c r="L103" s="267"/>
      <c r="M103" s="266"/>
      <c r="N103" s="268"/>
      <c r="O103" s="235"/>
      <c r="Q103" s="515"/>
      <c r="R103" s="516"/>
      <c r="S103" s="516"/>
      <c r="T103" s="516"/>
      <c r="U103" s="516"/>
      <c r="V103" s="516"/>
      <c r="W103" s="517"/>
    </row>
    <row r="104" spans="2:23" ht="18.649999999999999" customHeight="1" x14ac:dyDescent="0.4">
      <c r="B104" s="233"/>
      <c r="C104" s="469"/>
      <c r="D104" s="478"/>
      <c r="E104" s="239"/>
      <c r="F104" s="149"/>
      <c r="G104" s="149"/>
      <c r="H104" s="149"/>
      <c r="I104" s="149"/>
      <c r="J104" s="226"/>
      <c r="K104" s="226"/>
      <c r="L104" s="267"/>
      <c r="M104" s="266"/>
      <c r="N104" s="268"/>
      <c r="O104" s="236"/>
      <c r="Q104" s="515"/>
      <c r="R104" s="516"/>
      <c r="S104" s="516"/>
      <c r="T104" s="516"/>
      <c r="U104" s="516"/>
      <c r="V104" s="516"/>
      <c r="W104" s="517"/>
    </row>
    <row r="105" spans="2:23" ht="20.6" x14ac:dyDescent="0.55000000000000004">
      <c r="B105" s="233"/>
      <c r="C105" s="257">
        <f>vzor_A!B181</f>
        <v>0</v>
      </c>
      <c r="D105" s="264"/>
      <c r="E105" s="144"/>
      <c r="F105" s="149"/>
      <c r="G105" s="149"/>
      <c r="H105" s="149"/>
      <c r="I105" s="149"/>
      <c r="J105" s="226"/>
      <c r="K105" s="226"/>
      <c r="L105" s="133"/>
      <c r="M105" s="258"/>
      <c r="N105" s="133"/>
      <c r="O105" s="248"/>
      <c r="Q105" s="515"/>
      <c r="R105" s="516"/>
      <c r="S105" s="516"/>
      <c r="T105" s="516"/>
      <c r="U105" s="516"/>
      <c r="V105" s="516"/>
      <c r="W105" s="517"/>
    </row>
    <row r="106" spans="2:23" ht="20.6" x14ac:dyDescent="0.5">
      <c r="B106" s="233"/>
      <c r="C106" s="241"/>
      <c r="D106" s="144"/>
      <c r="E106" s="144"/>
      <c r="F106" s="149"/>
      <c r="G106" s="149"/>
      <c r="H106" s="149"/>
      <c r="I106" s="149"/>
      <c r="J106" s="226"/>
      <c r="K106" s="226"/>
      <c r="L106" s="133"/>
      <c r="M106" s="133"/>
      <c r="N106" s="133"/>
      <c r="O106" s="248"/>
      <c r="Q106" s="515"/>
      <c r="R106" s="516"/>
      <c r="S106" s="516"/>
      <c r="T106" s="516"/>
      <c r="U106" s="516"/>
      <c r="V106" s="516"/>
      <c r="W106" s="517"/>
    </row>
    <row r="107" spans="2:23" ht="18.649999999999999" customHeight="1" x14ac:dyDescent="0.5">
      <c r="B107" s="251"/>
      <c r="C107" s="242"/>
      <c r="D107" s="237"/>
      <c r="E107" s="237"/>
      <c r="F107" s="249"/>
      <c r="G107" s="249"/>
      <c r="H107" s="249"/>
      <c r="I107" s="249"/>
      <c r="J107" s="227"/>
      <c r="K107" s="227"/>
      <c r="L107" s="250"/>
      <c r="M107" s="250"/>
      <c r="N107" s="250"/>
      <c r="O107" s="238"/>
      <c r="Q107" s="518"/>
      <c r="R107" s="519"/>
      <c r="S107" s="519"/>
      <c r="T107" s="519"/>
      <c r="U107" s="519"/>
      <c r="V107" s="519"/>
      <c r="W107" s="520"/>
    </row>
    <row r="110" spans="2:23" ht="27" customHeight="1" x14ac:dyDescent="0.55000000000000004">
      <c r="B110" s="230"/>
      <c r="C110" s="259" t="s">
        <v>224</v>
      </c>
      <c r="D110" s="231"/>
      <c r="E110" s="231"/>
      <c r="F110" s="232"/>
      <c r="G110" s="231"/>
      <c r="H110" s="231"/>
      <c r="I110" s="231"/>
      <c r="J110" s="154"/>
      <c r="K110" s="154"/>
      <c r="L110" s="154"/>
      <c r="M110" s="154"/>
      <c r="N110" s="467"/>
      <c r="O110" s="468"/>
    </row>
    <row r="111" spans="2:23" ht="18.649999999999999" customHeight="1" x14ac:dyDescent="0.5">
      <c r="B111" s="233"/>
      <c r="C111" s="469" t="str">
        <f>vzor_A!B183</f>
        <v/>
      </c>
      <c r="D111" s="477" t="str">
        <f>IF(vzor_A!F183="","",vzor_A!F183)</f>
        <v/>
      </c>
      <c r="E111" s="229"/>
      <c r="F111" s="141"/>
      <c r="G111" s="130"/>
      <c r="H111" s="130"/>
      <c r="I111" s="130"/>
      <c r="J111" s="133"/>
      <c r="K111" s="133"/>
      <c r="L111" s="471">
        <f>vzor_A!$B$8</f>
        <v>0</v>
      </c>
      <c r="M111" s="472"/>
      <c r="N111" s="473"/>
      <c r="O111" s="234"/>
      <c r="Q111" s="511" t="s">
        <v>290</v>
      </c>
      <c r="R111" s="503"/>
      <c r="S111" s="503"/>
      <c r="T111" s="503"/>
      <c r="U111" s="503"/>
      <c r="V111" s="503"/>
      <c r="W111" s="504"/>
    </row>
    <row r="112" spans="2:23" ht="18.649999999999999" customHeight="1" x14ac:dyDescent="0.55000000000000004">
      <c r="B112" s="233"/>
      <c r="C112" s="469"/>
      <c r="D112" s="478"/>
      <c r="E112" s="229"/>
      <c r="F112" s="255" t="s">
        <v>224</v>
      </c>
      <c r="G112" s="130"/>
      <c r="H112" s="130"/>
      <c r="I112" s="130"/>
      <c r="J112" s="133"/>
      <c r="K112" s="133"/>
      <c r="L112" s="474"/>
      <c r="M112" s="475"/>
      <c r="N112" s="476"/>
      <c r="O112" s="234"/>
      <c r="Q112" s="505"/>
      <c r="R112" s="506"/>
      <c r="S112" s="506"/>
      <c r="T112" s="506"/>
      <c r="U112" s="506"/>
      <c r="V112" s="506"/>
      <c r="W112" s="507"/>
    </row>
    <row r="113" spans="2:23" ht="18.649999999999999" customHeight="1" x14ac:dyDescent="0.55000000000000004">
      <c r="B113" s="233"/>
      <c r="C113" s="257">
        <f>vzor_A!B185</f>
        <v>0</v>
      </c>
      <c r="D113" s="244"/>
      <c r="E113" s="246"/>
      <c r="F113" s="469" t="str">
        <f>vzor_A!H185</f>
        <v/>
      </c>
      <c r="G113" s="477" t="str">
        <f>IF(vzor_A!J185="","",vzor_A!J185)</f>
        <v/>
      </c>
      <c r="H113" s="229"/>
      <c r="I113" s="130"/>
      <c r="J113" s="133"/>
      <c r="K113" s="133"/>
      <c r="L113" s="479">
        <f>vzor_A!$B$14</f>
        <v>0</v>
      </c>
      <c r="M113" s="480"/>
      <c r="N113" s="481"/>
      <c r="O113" s="234"/>
      <c r="Q113" s="505"/>
      <c r="R113" s="506"/>
      <c r="S113" s="506"/>
      <c r="T113" s="506"/>
      <c r="U113" s="506"/>
      <c r="V113" s="506"/>
      <c r="W113" s="507"/>
    </row>
    <row r="114" spans="2:23" ht="18.649999999999999" customHeight="1" x14ac:dyDescent="0.5">
      <c r="B114" s="233"/>
      <c r="C114" s="130"/>
      <c r="D114" s="245"/>
      <c r="E114" s="130"/>
      <c r="F114" s="469"/>
      <c r="G114" s="478"/>
      <c r="H114" s="229"/>
      <c r="I114" s="130"/>
      <c r="J114" s="133"/>
      <c r="K114" s="133"/>
      <c r="L114" s="482"/>
      <c r="M114" s="483"/>
      <c r="N114" s="484"/>
      <c r="O114" s="234"/>
      <c r="Q114" s="508"/>
      <c r="R114" s="509"/>
      <c r="S114" s="509"/>
      <c r="T114" s="509"/>
      <c r="U114" s="509"/>
      <c r="V114" s="509"/>
      <c r="W114" s="510"/>
    </row>
    <row r="115" spans="2:23" ht="18.649999999999999" customHeight="1" x14ac:dyDescent="0.55000000000000004">
      <c r="B115" s="233"/>
      <c r="C115" s="469" t="str">
        <f>vzor_A!B187</f>
        <v/>
      </c>
      <c r="D115" s="477" t="str">
        <f>IF(vzor_A!F187="","",vzor_A!F187)</f>
        <v/>
      </c>
      <c r="E115" s="239"/>
      <c r="F115" s="254">
        <f>vzor_A!H187</f>
        <v>0</v>
      </c>
      <c r="G115" s="215"/>
      <c r="H115" s="149"/>
      <c r="I115" s="149"/>
      <c r="J115" s="133"/>
      <c r="K115" s="133"/>
      <c r="L115" s="521" t="s">
        <v>293</v>
      </c>
      <c r="M115" s="522"/>
      <c r="N115" s="523"/>
      <c r="O115" s="234"/>
    </row>
    <row r="116" spans="2:23" ht="18.649999999999999" customHeight="1" x14ac:dyDescent="0.55000000000000004">
      <c r="B116" s="233"/>
      <c r="C116" s="469"/>
      <c r="D116" s="478"/>
      <c r="E116" s="239"/>
      <c r="F116" s="262"/>
      <c r="G116" s="215"/>
      <c r="H116" s="149"/>
      <c r="I116" s="260" t="s">
        <v>224</v>
      </c>
      <c r="J116" s="133"/>
      <c r="K116" s="133"/>
      <c r="L116" s="524"/>
      <c r="M116" s="525"/>
      <c r="N116" s="526"/>
      <c r="O116" s="234"/>
      <c r="Q116" s="512">
        <v>4</v>
      </c>
      <c r="R116" s="513"/>
      <c r="S116" s="513"/>
      <c r="T116" s="513"/>
      <c r="U116" s="513"/>
      <c r="V116" s="513"/>
      <c r="W116" s="514"/>
    </row>
    <row r="117" spans="2:23" ht="18.649999999999999" customHeight="1" x14ac:dyDescent="0.55000000000000004">
      <c r="B117" s="233"/>
      <c r="C117" s="257">
        <f>vzor_A!B189</f>
        <v>0</v>
      </c>
      <c r="D117" s="264"/>
      <c r="E117" s="149"/>
      <c r="F117" s="149"/>
      <c r="G117" s="216"/>
      <c r="H117" s="247"/>
      <c r="I117" s="500" t="str">
        <f>vzor_A!N189</f>
        <v/>
      </c>
      <c r="J117" s="501"/>
      <c r="K117" s="229"/>
      <c r="L117" s="229"/>
      <c r="M117" s="133"/>
      <c r="O117" s="234"/>
      <c r="Q117" s="515"/>
      <c r="R117" s="516"/>
      <c r="S117" s="516"/>
      <c r="T117" s="516"/>
      <c r="U117" s="516"/>
      <c r="V117" s="516"/>
      <c r="W117" s="517"/>
    </row>
    <row r="118" spans="2:23" ht="18.649999999999999" customHeight="1" x14ac:dyDescent="0.5">
      <c r="B118" s="233"/>
      <c r="C118" s="151"/>
      <c r="D118" s="149"/>
      <c r="E118" s="149"/>
      <c r="F118" s="149"/>
      <c r="G118" s="216"/>
      <c r="H118" s="150"/>
      <c r="I118" s="500"/>
      <c r="J118" s="501"/>
      <c r="K118" s="229"/>
      <c r="L118" s="229"/>
      <c r="M118" s="133"/>
      <c r="O118" s="234"/>
      <c r="Q118" s="515"/>
      <c r="R118" s="516"/>
      <c r="S118" s="516"/>
      <c r="T118" s="516"/>
      <c r="U118" s="516"/>
      <c r="V118" s="516"/>
      <c r="W118" s="517"/>
    </row>
    <row r="119" spans="2:23" ht="18.649999999999999" customHeight="1" x14ac:dyDescent="0.55000000000000004">
      <c r="B119" s="233"/>
      <c r="C119" s="469" t="str">
        <f>vzor_A!B191</f>
        <v/>
      </c>
      <c r="D119" s="477" t="str">
        <f>IF(vzor_A!F191="","",vzor_A!F191)</f>
        <v/>
      </c>
      <c r="E119" s="229"/>
      <c r="F119" s="138"/>
      <c r="G119" s="213"/>
      <c r="H119" s="243"/>
      <c r="I119" s="254">
        <f>vzor_A!N191</f>
        <v>0</v>
      </c>
      <c r="J119" s="133"/>
      <c r="K119" s="133"/>
      <c r="L119" s="133"/>
      <c r="M119" s="133"/>
      <c r="O119" s="234"/>
      <c r="Q119" s="515"/>
      <c r="R119" s="516"/>
      <c r="S119" s="516"/>
      <c r="T119" s="516"/>
      <c r="U119" s="516"/>
      <c r="V119" s="516"/>
      <c r="W119" s="517"/>
    </row>
    <row r="120" spans="2:23" ht="18.649999999999999" customHeight="1" x14ac:dyDescent="0.5">
      <c r="B120" s="233"/>
      <c r="C120" s="469"/>
      <c r="D120" s="478"/>
      <c r="E120" s="229"/>
      <c r="F120" s="138"/>
      <c r="G120" s="215"/>
      <c r="H120" s="149"/>
      <c r="I120" s="149"/>
      <c r="J120" s="133"/>
      <c r="K120" s="133"/>
      <c r="L120" s="133"/>
      <c r="M120" s="133"/>
      <c r="O120" s="234"/>
      <c r="Q120" s="515"/>
      <c r="R120" s="516"/>
      <c r="S120" s="516"/>
      <c r="T120" s="516"/>
      <c r="U120" s="516"/>
      <c r="V120" s="516"/>
      <c r="W120" s="517"/>
    </row>
    <row r="121" spans="2:23" ht="18.649999999999999" customHeight="1" x14ac:dyDescent="0.55000000000000004">
      <c r="B121" s="233"/>
      <c r="C121" s="257">
        <f>vzor_A!B193</f>
        <v>0</v>
      </c>
      <c r="D121" s="244"/>
      <c r="E121" s="246"/>
      <c r="F121" s="469" t="str">
        <f>vzor_A!H193</f>
        <v/>
      </c>
      <c r="G121" s="477" t="str">
        <f>IF(vzor_A!J193="","",vzor_A!J193)</f>
        <v/>
      </c>
      <c r="H121" s="229"/>
      <c r="I121" s="149"/>
      <c r="J121" s="133"/>
      <c r="K121" s="133"/>
      <c r="L121" s="133"/>
      <c r="M121" s="133"/>
      <c r="O121" s="234"/>
      <c r="Q121" s="515"/>
      <c r="R121" s="516"/>
      <c r="S121" s="516"/>
      <c r="T121" s="516"/>
      <c r="U121" s="516"/>
      <c r="V121" s="516"/>
      <c r="W121" s="517"/>
    </row>
    <row r="122" spans="2:23" ht="18.649999999999999" customHeight="1" x14ac:dyDescent="0.5">
      <c r="B122" s="233"/>
      <c r="C122" s="130"/>
      <c r="D122" s="245"/>
      <c r="E122" s="130"/>
      <c r="F122" s="469"/>
      <c r="G122" s="478"/>
      <c r="H122" s="229"/>
      <c r="I122" s="149"/>
      <c r="J122" s="133"/>
      <c r="K122" s="133"/>
      <c r="L122" s="133"/>
      <c r="M122" s="133"/>
      <c r="O122" s="234"/>
      <c r="Q122" s="515"/>
      <c r="R122" s="516"/>
      <c r="S122" s="516"/>
      <c r="T122" s="516"/>
      <c r="U122" s="516"/>
      <c r="V122" s="516"/>
      <c r="W122" s="517"/>
    </row>
    <row r="123" spans="2:23" ht="18.649999999999999" customHeight="1" x14ac:dyDescent="0.55000000000000004">
      <c r="B123" s="233"/>
      <c r="C123" s="469" t="str">
        <f>vzor_A!B195</f>
        <v/>
      </c>
      <c r="D123" s="477" t="str">
        <f>IF(vzor_A!F195="","",vzor_A!F195)</f>
        <v/>
      </c>
      <c r="E123" s="239"/>
      <c r="F123" s="254">
        <f>vzor_A!H195</f>
        <v>0</v>
      </c>
      <c r="G123" s="149"/>
      <c r="H123" s="149"/>
      <c r="I123" s="149"/>
      <c r="J123" s="133"/>
      <c r="K123" s="133"/>
      <c r="L123" s="133"/>
      <c r="M123" s="133"/>
      <c r="N123" s="130"/>
      <c r="O123" s="235"/>
      <c r="Q123" s="515"/>
      <c r="R123" s="516"/>
      <c r="S123" s="516"/>
      <c r="T123" s="516"/>
      <c r="U123" s="516"/>
      <c r="V123" s="516"/>
      <c r="W123" s="517"/>
    </row>
    <row r="124" spans="2:23" ht="18.649999999999999" customHeight="1" x14ac:dyDescent="0.55000000000000004">
      <c r="B124" s="233"/>
      <c r="C124" s="469"/>
      <c r="D124" s="478"/>
      <c r="E124" s="239"/>
      <c r="F124" s="149"/>
      <c r="G124" s="149"/>
      <c r="H124" s="149"/>
      <c r="I124" s="149"/>
      <c r="J124" s="133"/>
      <c r="K124" s="133"/>
      <c r="L124" s="265"/>
      <c r="M124" s="265"/>
      <c r="N124" s="265"/>
      <c r="O124" s="235"/>
      <c r="Q124" s="515"/>
      <c r="R124" s="516"/>
      <c r="S124" s="516"/>
      <c r="T124" s="516"/>
      <c r="U124" s="516"/>
      <c r="V124" s="516"/>
      <c r="W124" s="517"/>
    </row>
    <row r="125" spans="2:23" ht="18.649999999999999" customHeight="1" x14ac:dyDescent="0.55000000000000004">
      <c r="B125" s="233"/>
      <c r="C125" s="257">
        <f>vzor_A!B197</f>
        <v>0</v>
      </c>
      <c r="D125" s="264"/>
      <c r="E125" s="144"/>
      <c r="F125" s="149"/>
      <c r="G125" s="149"/>
      <c r="H125" s="149"/>
      <c r="I125" s="149"/>
      <c r="J125" s="133"/>
      <c r="K125" s="133"/>
      <c r="L125" s="266"/>
      <c r="M125" s="266"/>
      <c r="N125" s="266"/>
      <c r="O125" s="235"/>
      <c r="Q125" s="515"/>
      <c r="R125" s="516"/>
      <c r="S125" s="516"/>
      <c r="T125" s="516"/>
      <c r="U125" s="516"/>
      <c r="V125" s="516"/>
      <c r="W125" s="517"/>
    </row>
    <row r="126" spans="2:23" ht="18.649999999999999" customHeight="1" x14ac:dyDescent="0.5">
      <c r="B126" s="233"/>
      <c r="C126" s="149"/>
      <c r="D126" s="149"/>
      <c r="E126" s="149"/>
      <c r="F126" s="149"/>
      <c r="G126" s="149"/>
      <c r="H126" s="149"/>
      <c r="I126" s="149"/>
      <c r="J126" s="133"/>
      <c r="K126" s="133"/>
      <c r="L126" s="266"/>
      <c r="M126" s="266"/>
      <c r="N126" s="266"/>
      <c r="O126" s="235"/>
      <c r="Q126" s="515"/>
      <c r="R126" s="516"/>
      <c r="S126" s="516"/>
      <c r="T126" s="516"/>
      <c r="U126" s="516"/>
      <c r="V126" s="516"/>
      <c r="W126" s="517"/>
    </row>
    <row r="127" spans="2:23" ht="18.649999999999999" customHeight="1" x14ac:dyDescent="0.5">
      <c r="B127" s="233"/>
      <c r="C127" s="469" t="str">
        <f>vzor_A!B199</f>
        <v/>
      </c>
      <c r="D127" s="477" t="str">
        <f>IF(vzor_A!F199="","",vzor_A!F199)</f>
        <v/>
      </c>
      <c r="E127" s="229"/>
      <c r="F127" s="138"/>
      <c r="G127" s="130"/>
      <c r="H127" s="130"/>
      <c r="I127" s="130"/>
      <c r="J127" s="133"/>
      <c r="K127" s="133"/>
      <c r="L127" s="133"/>
      <c r="M127" s="241"/>
      <c r="N127" s="130"/>
      <c r="O127" s="235"/>
      <c r="Q127" s="515"/>
      <c r="R127" s="516"/>
      <c r="S127" s="516"/>
      <c r="T127" s="516"/>
      <c r="U127" s="516"/>
      <c r="V127" s="516"/>
      <c r="W127" s="517"/>
    </row>
    <row r="128" spans="2:23" ht="18.649999999999999" customHeight="1" x14ac:dyDescent="0.5">
      <c r="B128" s="233"/>
      <c r="C128" s="469"/>
      <c r="D128" s="478"/>
      <c r="E128" s="229"/>
      <c r="F128" s="138"/>
      <c r="G128" s="130"/>
      <c r="H128" s="130"/>
      <c r="I128" s="130"/>
      <c r="J128" s="133"/>
      <c r="K128" s="133"/>
      <c r="L128" s="133"/>
      <c r="M128" s="133"/>
      <c r="N128" s="130"/>
      <c r="O128" s="235"/>
      <c r="Q128" s="515"/>
      <c r="R128" s="516"/>
      <c r="S128" s="516"/>
      <c r="T128" s="516"/>
      <c r="U128" s="516"/>
      <c r="V128" s="516"/>
      <c r="W128" s="517"/>
    </row>
    <row r="129" spans="2:23" ht="18.649999999999999" customHeight="1" x14ac:dyDescent="0.55000000000000004">
      <c r="B129" s="233"/>
      <c r="C129" s="257">
        <f>vzor_A!B201</f>
        <v>0</v>
      </c>
      <c r="D129" s="244"/>
      <c r="E129" s="246"/>
      <c r="F129" s="469" t="str">
        <f>vzor_A!H201</f>
        <v/>
      </c>
      <c r="G129" s="477" t="str">
        <f>IF(vzor_A!J201="","",vzor_A!J201)</f>
        <v/>
      </c>
      <c r="H129" s="229"/>
      <c r="I129" s="130"/>
      <c r="J129" s="133"/>
      <c r="K129" s="133"/>
      <c r="L129" s="133"/>
      <c r="M129" s="133"/>
      <c r="N129" s="130"/>
      <c r="O129" s="235"/>
      <c r="Q129" s="515"/>
      <c r="R129" s="516"/>
      <c r="S129" s="516"/>
      <c r="T129" s="516"/>
      <c r="U129" s="516"/>
      <c r="V129" s="516"/>
      <c r="W129" s="517"/>
    </row>
    <row r="130" spans="2:23" ht="18.649999999999999" customHeight="1" x14ac:dyDescent="0.5">
      <c r="B130" s="233"/>
      <c r="C130" s="130"/>
      <c r="D130" s="245"/>
      <c r="E130" s="130"/>
      <c r="F130" s="469"/>
      <c r="G130" s="478"/>
      <c r="H130" s="229"/>
      <c r="I130" s="130"/>
      <c r="J130" s="133"/>
      <c r="K130" s="133"/>
      <c r="L130" s="133"/>
      <c r="M130" s="133"/>
      <c r="N130" s="130"/>
      <c r="O130" s="235"/>
      <c r="Q130" s="515"/>
      <c r="R130" s="516"/>
      <c r="S130" s="516"/>
      <c r="T130" s="516"/>
      <c r="U130" s="516"/>
      <c r="V130" s="516"/>
      <c r="W130" s="517"/>
    </row>
    <row r="131" spans="2:23" ht="18.649999999999999" customHeight="1" x14ac:dyDescent="0.55000000000000004">
      <c r="B131" s="233"/>
      <c r="C131" s="469" t="str">
        <f>vzor_A!B203</f>
        <v/>
      </c>
      <c r="D131" s="477" t="str">
        <f>IF(vzor_A!F203="","",vzor_A!F203)</f>
        <v/>
      </c>
      <c r="E131" s="239"/>
      <c r="F131" s="254">
        <f>vzor_A!H203</f>
        <v>0</v>
      </c>
      <c r="G131" s="215"/>
      <c r="H131" s="149"/>
      <c r="I131" s="149"/>
      <c r="J131" s="133"/>
      <c r="K131" s="133"/>
      <c r="L131" s="133"/>
      <c r="M131" s="133"/>
      <c r="N131" s="130"/>
      <c r="O131" s="235"/>
      <c r="Q131" s="515"/>
      <c r="R131" s="516"/>
      <c r="S131" s="516"/>
      <c r="T131" s="516"/>
      <c r="U131" s="516"/>
      <c r="V131" s="516"/>
      <c r="W131" s="517"/>
    </row>
    <row r="132" spans="2:23" ht="18.649999999999999" customHeight="1" x14ac:dyDescent="0.55000000000000004">
      <c r="B132" s="233"/>
      <c r="C132" s="469"/>
      <c r="D132" s="478"/>
      <c r="E132" s="239"/>
      <c r="F132" s="149"/>
      <c r="G132" s="215"/>
      <c r="H132" s="149"/>
      <c r="I132" s="149"/>
      <c r="J132" s="133"/>
      <c r="K132" s="133"/>
      <c r="L132" s="133"/>
      <c r="M132" s="255"/>
      <c r="N132" s="130"/>
      <c r="O132" s="235"/>
      <c r="Q132" s="515"/>
      <c r="R132" s="516"/>
      <c r="S132" s="516"/>
      <c r="T132" s="516"/>
      <c r="U132" s="516"/>
      <c r="V132" s="516"/>
      <c r="W132" s="517"/>
    </row>
    <row r="133" spans="2:23" ht="18.649999999999999" customHeight="1" x14ac:dyDescent="0.55000000000000004">
      <c r="B133" s="233"/>
      <c r="C133" s="257">
        <f>vzor_A!B205</f>
        <v>0</v>
      </c>
      <c r="D133" s="264"/>
      <c r="E133" s="144"/>
      <c r="F133" s="149"/>
      <c r="G133" s="216"/>
      <c r="H133" s="247"/>
      <c r="I133" s="500" t="str">
        <f>vzor_A!N205</f>
        <v/>
      </c>
      <c r="J133" s="501"/>
      <c r="K133" s="229"/>
      <c r="L133" s="267"/>
      <c r="M133" s="266"/>
      <c r="N133" s="268"/>
      <c r="O133" s="235"/>
      <c r="Q133" s="515"/>
      <c r="R133" s="516"/>
      <c r="S133" s="516"/>
      <c r="T133" s="516"/>
      <c r="U133" s="516"/>
      <c r="V133" s="516"/>
      <c r="W133" s="517"/>
    </row>
    <row r="134" spans="2:23" ht="18.649999999999999" customHeight="1" x14ac:dyDescent="0.5">
      <c r="B134" s="233"/>
      <c r="C134" s="149"/>
      <c r="D134" s="149"/>
      <c r="E134" s="149"/>
      <c r="F134" s="149"/>
      <c r="G134" s="216"/>
      <c r="H134" s="216"/>
      <c r="I134" s="500"/>
      <c r="J134" s="501"/>
      <c r="K134" s="229"/>
      <c r="L134" s="267"/>
      <c r="M134" s="266"/>
      <c r="N134" s="268"/>
      <c r="O134" s="235"/>
      <c r="Q134" s="515"/>
      <c r="R134" s="516"/>
      <c r="S134" s="516"/>
      <c r="T134" s="516"/>
      <c r="U134" s="516"/>
      <c r="V134" s="516"/>
      <c r="W134" s="517"/>
    </row>
    <row r="135" spans="2:23" ht="18.649999999999999" customHeight="1" x14ac:dyDescent="0.55000000000000004">
      <c r="B135" s="233"/>
      <c r="C135" s="469" t="str">
        <f>vzor_A!B207</f>
        <v/>
      </c>
      <c r="D135" s="477" t="str">
        <f>IF(vzor_A!F207="","",vzor_A!F207)</f>
        <v/>
      </c>
      <c r="E135" s="229"/>
      <c r="F135" s="138"/>
      <c r="G135" s="213"/>
      <c r="H135" s="243"/>
      <c r="I135" s="254">
        <f>vzor_A!N207</f>
        <v>0</v>
      </c>
      <c r="J135" s="133"/>
      <c r="K135" s="133"/>
      <c r="L135" s="133"/>
      <c r="M135" s="258"/>
      <c r="N135" s="130"/>
      <c r="O135" s="235"/>
      <c r="Q135" s="515"/>
      <c r="R135" s="516"/>
      <c r="S135" s="516"/>
      <c r="T135" s="516"/>
      <c r="U135" s="516"/>
      <c r="V135" s="516"/>
      <c r="W135" s="517"/>
    </row>
    <row r="136" spans="2:23" ht="18.649999999999999" customHeight="1" x14ac:dyDescent="0.5">
      <c r="B136" s="233"/>
      <c r="C136" s="469"/>
      <c r="D136" s="478"/>
      <c r="E136" s="229"/>
      <c r="F136" s="138"/>
      <c r="G136" s="215"/>
      <c r="H136" s="149"/>
      <c r="I136" s="149"/>
      <c r="J136" s="133"/>
      <c r="K136" s="133"/>
      <c r="L136" s="267"/>
      <c r="M136" s="266"/>
      <c r="N136" s="268"/>
      <c r="O136" s="235"/>
      <c r="Q136" s="515"/>
      <c r="R136" s="516"/>
      <c r="S136" s="516"/>
      <c r="T136" s="516"/>
      <c r="U136" s="516"/>
      <c r="V136" s="516"/>
      <c r="W136" s="517"/>
    </row>
    <row r="137" spans="2:23" ht="18.649999999999999" customHeight="1" x14ac:dyDescent="0.55000000000000004">
      <c r="B137" s="233"/>
      <c r="C137" s="257">
        <f>vzor_A!B209</f>
        <v>0</v>
      </c>
      <c r="D137" s="244"/>
      <c r="E137" s="246"/>
      <c r="F137" s="469" t="str">
        <f>vzor_A!H209</f>
        <v/>
      </c>
      <c r="G137" s="477" t="str">
        <f>IF(vzor_A!J209="","",vzor_A!J209)</f>
        <v/>
      </c>
      <c r="H137" s="229"/>
      <c r="I137" s="149"/>
      <c r="J137" s="133"/>
      <c r="K137" s="133"/>
      <c r="L137" s="267"/>
      <c r="M137" s="266"/>
      <c r="N137" s="268"/>
      <c r="O137" s="235"/>
      <c r="Q137" s="515"/>
      <c r="R137" s="516"/>
      <c r="S137" s="516"/>
      <c r="T137" s="516"/>
      <c r="U137" s="516"/>
      <c r="V137" s="516"/>
      <c r="W137" s="517"/>
    </row>
    <row r="138" spans="2:23" ht="18.649999999999999" customHeight="1" x14ac:dyDescent="0.5">
      <c r="B138" s="233"/>
      <c r="C138" s="158"/>
      <c r="D138" s="245"/>
      <c r="E138" s="130"/>
      <c r="F138" s="469"/>
      <c r="G138" s="478"/>
      <c r="H138" s="229"/>
      <c r="I138" s="149"/>
      <c r="J138" s="133"/>
      <c r="K138" s="133"/>
      <c r="L138" s="133"/>
      <c r="M138" s="258"/>
      <c r="N138" s="130"/>
      <c r="O138" s="235"/>
      <c r="Q138" s="515"/>
      <c r="R138" s="516"/>
      <c r="S138" s="516"/>
      <c r="T138" s="516"/>
      <c r="U138" s="516"/>
      <c r="V138" s="516"/>
      <c r="W138" s="517"/>
    </row>
    <row r="139" spans="2:23" ht="18.649999999999999" customHeight="1" x14ac:dyDescent="0.55000000000000004">
      <c r="B139" s="233"/>
      <c r="C139" s="469" t="str">
        <f>vzor_A!B211</f>
        <v/>
      </c>
      <c r="D139" s="477" t="str">
        <f>IF(vzor_A!F211="","",vzor_A!F211)</f>
        <v/>
      </c>
      <c r="E139" s="239"/>
      <c r="F139" s="254">
        <f>vzor_A!H211</f>
        <v>0</v>
      </c>
      <c r="G139" s="149"/>
      <c r="H139" s="149"/>
      <c r="I139" s="149"/>
      <c r="J139" s="226"/>
      <c r="K139" s="226"/>
      <c r="L139" s="267"/>
      <c r="M139" s="266"/>
      <c r="N139" s="268"/>
      <c r="O139" s="235"/>
      <c r="Q139" s="515"/>
      <c r="R139" s="516"/>
      <c r="S139" s="516"/>
      <c r="T139" s="516"/>
      <c r="U139" s="516"/>
      <c r="V139" s="516"/>
      <c r="W139" s="517"/>
    </row>
    <row r="140" spans="2:23" ht="18.649999999999999" customHeight="1" x14ac:dyDescent="0.4">
      <c r="B140" s="233"/>
      <c r="C140" s="469"/>
      <c r="D140" s="478"/>
      <c r="E140" s="239"/>
      <c r="F140" s="149"/>
      <c r="G140" s="149"/>
      <c r="H140" s="149"/>
      <c r="I140" s="149"/>
      <c r="J140" s="226"/>
      <c r="K140" s="226"/>
      <c r="L140" s="267"/>
      <c r="M140" s="266"/>
      <c r="N140" s="268"/>
      <c r="O140" s="236"/>
      <c r="Q140" s="515"/>
      <c r="R140" s="516"/>
      <c r="S140" s="516"/>
      <c r="T140" s="516"/>
      <c r="U140" s="516"/>
      <c r="V140" s="516"/>
      <c r="W140" s="517"/>
    </row>
    <row r="141" spans="2:23" ht="20.6" x14ac:dyDescent="0.55000000000000004">
      <c r="B141" s="233"/>
      <c r="C141" s="257">
        <f>vzor_A!B213</f>
        <v>0</v>
      </c>
      <c r="D141" s="264"/>
      <c r="E141" s="144"/>
      <c r="F141" s="149"/>
      <c r="G141" s="149"/>
      <c r="H141" s="149"/>
      <c r="I141" s="149"/>
      <c r="J141" s="226"/>
      <c r="K141" s="226"/>
      <c r="L141" s="133"/>
      <c r="M141" s="258"/>
      <c r="N141" s="133"/>
      <c r="O141" s="248"/>
      <c r="Q141" s="515"/>
      <c r="R141" s="516"/>
      <c r="S141" s="516"/>
      <c r="T141" s="516"/>
      <c r="U141" s="516"/>
      <c r="V141" s="516"/>
      <c r="W141" s="517"/>
    </row>
    <row r="142" spans="2:23" ht="20.6" x14ac:dyDescent="0.5">
      <c r="B142" s="233"/>
      <c r="C142" s="241"/>
      <c r="D142" s="144"/>
      <c r="E142" s="144"/>
      <c r="F142" s="149"/>
      <c r="G142" s="149"/>
      <c r="H142" s="149"/>
      <c r="I142" s="149"/>
      <c r="J142" s="226"/>
      <c r="K142" s="226"/>
      <c r="L142" s="133"/>
      <c r="M142" s="133"/>
      <c r="N142" s="133"/>
      <c r="O142" s="248"/>
      <c r="Q142" s="515"/>
      <c r="R142" s="516"/>
      <c r="S142" s="516"/>
      <c r="T142" s="516"/>
      <c r="U142" s="516"/>
      <c r="V142" s="516"/>
      <c r="W142" s="517"/>
    </row>
    <row r="143" spans="2:23" ht="18.649999999999999" customHeight="1" x14ac:dyDescent="0.5">
      <c r="B143" s="251"/>
      <c r="C143" s="242"/>
      <c r="D143" s="237"/>
      <c r="E143" s="237"/>
      <c r="F143" s="249"/>
      <c r="G143" s="249"/>
      <c r="H143" s="249"/>
      <c r="I143" s="249"/>
      <c r="J143" s="227"/>
      <c r="K143" s="227"/>
      <c r="L143" s="250"/>
      <c r="M143" s="250"/>
      <c r="N143" s="250"/>
      <c r="O143" s="238"/>
      <c r="Q143" s="518"/>
      <c r="R143" s="519"/>
      <c r="S143" s="519"/>
      <c r="T143" s="519"/>
      <c r="U143" s="519"/>
      <c r="V143" s="519"/>
      <c r="W143" s="520"/>
    </row>
    <row r="144" spans="2:23" ht="18.45" x14ac:dyDescent="0.5">
      <c r="C144" s="131"/>
      <c r="D144" s="130"/>
      <c r="E144" s="130"/>
      <c r="F144" s="133"/>
      <c r="G144" s="130"/>
      <c r="H144" s="130"/>
      <c r="I144" s="130"/>
      <c r="J144" s="14"/>
      <c r="K144" s="14"/>
      <c r="L144" s="14"/>
      <c r="M144" s="14"/>
      <c r="N144" s="130"/>
      <c r="O144" s="134"/>
    </row>
    <row r="145" spans="2:23" ht="18.45" x14ac:dyDescent="0.5">
      <c r="C145" s="131"/>
      <c r="D145" s="130"/>
      <c r="E145" s="130"/>
      <c r="F145" s="133"/>
      <c r="G145" s="130"/>
      <c r="H145" s="130"/>
      <c r="I145" s="130"/>
      <c r="J145" s="14"/>
      <c r="K145" s="14"/>
      <c r="L145" s="14"/>
      <c r="M145" s="14"/>
      <c r="N145" s="130"/>
      <c r="O145" s="134"/>
    </row>
    <row r="146" spans="2:23" ht="27" customHeight="1" x14ac:dyDescent="0.55000000000000004">
      <c r="B146" s="230"/>
      <c r="C146" s="259" t="s">
        <v>224</v>
      </c>
      <c r="D146" s="231"/>
      <c r="E146" s="231"/>
      <c r="F146" s="232"/>
      <c r="G146" s="231"/>
      <c r="H146" s="231"/>
      <c r="I146" s="231"/>
      <c r="J146" s="154"/>
      <c r="K146" s="154"/>
      <c r="L146" s="154"/>
      <c r="M146" s="154"/>
      <c r="N146" s="467"/>
      <c r="O146" s="468"/>
    </row>
    <row r="147" spans="2:23" ht="18.649999999999999" customHeight="1" x14ac:dyDescent="0.5">
      <c r="B147" s="233"/>
      <c r="C147" s="469" t="str">
        <f>vzor_A!B151</f>
        <v/>
      </c>
      <c r="D147" s="477" t="str">
        <f>IF(vzor_A!F151="","",vzor_A!F151)</f>
        <v/>
      </c>
      <c r="E147" s="229"/>
      <c r="F147" s="141"/>
      <c r="G147" s="130"/>
      <c r="H147" s="130"/>
      <c r="I147" s="130"/>
      <c r="J147" s="133"/>
      <c r="K147" s="133"/>
      <c r="L147" s="471">
        <f>vzor_A!$B$8</f>
        <v>0</v>
      </c>
      <c r="M147" s="472"/>
      <c r="N147" s="473"/>
      <c r="O147" s="234"/>
      <c r="Q147" s="511" t="s">
        <v>294</v>
      </c>
      <c r="R147" s="503"/>
      <c r="S147" s="503"/>
      <c r="T147" s="503"/>
      <c r="U147" s="503"/>
      <c r="V147" s="503"/>
      <c r="W147" s="504"/>
    </row>
    <row r="148" spans="2:23" ht="18.649999999999999" customHeight="1" x14ac:dyDescent="0.55000000000000004">
      <c r="B148" s="233"/>
      <c r="C148" s="469"/>
      <c r="D148" s="478"/>
      <c r="E148" s="229"/>
      <c r="F148" s="255" t="s">
        <v>224</v>
      </c>
      <c r="G148" s="130"/>
      <c r="H148" s="130"/>
      <c r="I148" s="130"/>
      <c r="J148" s="133"/>
      <c r="K148" s="133"/>
      <c r="L148" s="474"/>
      <c r="M148" s="475"/>
      <c r="N148" s="476"/>
      <c r="O148" s="234"/>
      <c r="Q148" s="505"/>
      <c r="R148" s="506"/>
      <c r="S148" s="506"/>
      <c r="T148" s="506"/>
      <c r="U148" s="506"/>
      <c r="V148" s="506"/>
      <c r="W148" s="507"/>
    </row>
    <row r="149" spans="2:23" ht="18.649999999999999" customHeight="1" x14ac:dyDescent="0.55000000000000004">
      <c r="B149" s="233"/>
      <c r="C149" s="257">
        <f>vzor_A!B153</f>
        <v>0</v>
      </c>
      <c r="D149" s="244"/>
      <c r="E149" s="246"/>
      <c r="F149" s="469" t="str">
        <f>vzor_A!H153</f>
        <v/>
      </c>
      <c r="G149" s="477" t="str">
        <f>IF(vzor_A!J153="","",vzor_A!J153)</f>
        <v/>
      </c>
      <c r="H149" s="229"/>
      <c r="I149" s="130"/>
      <c r="J149" s="133"/>
      <c r="K149" s="133"/>
      <c r="L149" s="479">
        <f>vzor_A!$B$14</f>
        <v>0</v>
      </c>
      <c r="M149" s="480"/>
      <c r="N149" s="481"/>
      <c r="O149" s="234"/>
      <c r="Q149" s="505"/>
      <c r="R149" s="506"/>
      <c r="S149" s="506"/>
      <c r="T149" s="506"/>
      <c r="U149" s="506"/>
      <c r="V149" s="506"/>
      <c r="W149" s="507"/>
    </row>
    <row r="150" spans="2:23" ht="18.649999999999999" customHeight="1" x14ac:dyDescent="0.5">
      <c r="B150" s="233"/>
      <c r="C150" s="130"/>
      <c r="D150" s="245"/>
      <c r="E150" s="130"/>
      <c r="F150" s="469"/>
      <c r="G150" s="478"/>
      <c r="H150" s="229"/>
      <c r="I150" s="130"/>
      <c r="J150" s="133"/>
      <c r="K150" s="133"/>
      <c r="L150" s="482"/>
      <c r="M150" s="483"/>
      <c r="N150" s="484"/>
      <c r="O150" s="234"/>
      <c r="Q150" s="508"/>
      <c r="R150" s="509"/>
      <c r="S150" s="509"/>
      <c r="T150" s="509"/>
      <c r="U150" s="509"/>
      <c r="V150" s="509"/>
      <c r="W150" s="510"/>
    </row>
    <row r="151" spans="2:23" ht="18.649999999999999" customHeight="1" x14ac:dyDescent="0.55000000000000004">
      <c r="B151" s="233"/>
      <c r="C151" s="469" t="str">
        <f>vzor_A!B155</f>
        <v/>
      </c>
      <c r="D151" s="477" t="str">
        <f>IF(vzor_A!F155="","",vzor_A!F155)</f>
        <v/>
      </c>
      <c r="E151" s="239"/>
      <c r="F151" s="254">
        <f>vzor_A!H155</f>
        <v>0</v>
      </c>
      <c r="G151" s="215"/>
      <c r="H151" s="149"/>
      <c r="I151" s="149"/>
      <c r="J151" s="133"/>
      <c r="K151" s="133"/>
      <c r="L151" s="521" t="s">
        <v>292</v>
      </c>
      <c r="M151" s="522"/>
      <c r="N151" s="523"/>
      <c r="O151" s="234"/>
    </row>
    <row r="152" spans="2:23" ht="18.649999999999999" customHeight="1" x14ac:dyDescent="0.55000000000000004">
      <c r="B152" s="233"/>
      <c r="C152" s="469"/>
      <c r="D152" s="478"/>
      <c r="E152" s="239"/>
      <c r="F152" s="262"/>
      <c r="G152" s="215"/>
      <c r="H152" s="149"/>
      <c r="I152" s="260" t="s">
        <v>224</v>
      </c>
      <c r="J152" s="133"/>
      <c r="K152" s="133"/>
      <c r="L152" s="524"/>
      <c r="M152" s="525"/>
      <c r="N152" s="526"/>
      <c r="O152" s="234"/>
      <c r="Q152" s="512">
        <v>5</v>
      </c>
      <c r="R152" s="513"/>
      <c r="S152" s="513"/>
      <c r="T152" s="513"/>
      <c r="U152" s="513"/>
      <c r="V152" s="513"/>
      <c r="W152" s="514"/>
    </row>
    <row r="153" spans="2:23" ht="18.649999999999999" customHeight="1" x14ac:dyDescent="0.55000000000000004">
      <c r="B153" s="233"/>
      <c r="C153" s="257">
        <f>vzor_A!B157</f>
        <v>0</v>
      </c>
      <c r="D153" s="264"/>
      <c r="E153" s="149"/>
      <c r="F153" s="149"/>
      <c r="G153" s="216"/>
      <c r="H153" s="247"/>
      <c r="I153" s="500" t="str">
        <f>vzor_A!N157</f>
        <v/>
      </c>
      <c r="J153" s="501"/>
      <c r="K153" s="229"/>
      <c r="L153" s="229"/>
      <c r="M153" s="133"/>
      <c r="O153" s="234"/>
      <c r="Q153" s="515"/>
      <c r="R153" s="516"/>
      <c r="S153" s="516"/>
      <c r="T153" s="516"/>
      <c r="U153" s="516"/>
      <c r="V153" s="516"/>
      <c r="W153" s="517"/>
    </row>
    <row r="154" spans="2:23" ht="18.649999999999999" customHeight="1" x14ac:dyDescent="0.5">
      <c r="B154" s="233"/>
      <c r="C154" s="151"/>
      <c r="D154" s="149"/>
      <c r="E154" s="149"/>
      <c r="F154" s="149"/>
      <c r="G154" s="216"/>
      <c r="H154" s="150"/>
      <c r="I154" s="500"/>
      <c r="J154" s="501"/>
      <c r="K154" s="229"/>
      <c r="L154" s="229"/>
      <c r="M154" s="133"/>
      <c r="O154" s="234"/>
      <c r="Q154" s="515"/>
      <c r="R154" s="516"/>
      <c r="S154" s="516"/>
      <c r="T154" s="516"/>
      <c r="U154" s="516"/>
      <c r="V154" s="516"/>
      <c r="W154" s="517"/>
    </row>
    <row r="155" spans="2:23" ht="18.649999999999999" customHeight="1" x14ac:dyDescent="0.55000000000000004">
      <c r="B155" s="233"/>
      <c r="C155" s="469" t="str">
        <f>vzor_A!B159</f>
        <v/>
      </c>
      <c r="D155" s="477" t="str">
        <f>IF(vzor_A!F159="","",vzor_A!F159)</f>
        <v/>
      </c>
      <c r="E155" s="229"/>
      <c r="F155" s="138"/>
      <c r="G155" s="213"/>
      <c r="H155" s="243"/>
      <c r="I155" s="254">
        <f>vzor_A!N159</f>
        <v>0</v>
      </c>
      <c r="J155" s="133"/>
      <c r="K155" s="133"/>
      <c r="L155" s="133"/>
      <c r="M155" s="133"/>
      <c r="O155" s="234"/>
      <c r="Q155" s="515"/>
      <c r="R155" s="516"/>
      <c r="S155" s="516"/>
      <c r="T155" s="516"/>
      <c r="U155" s="516"/>
      <c r="V155" s="516"/>
      <c r="W155" s="517"/>
    </row>
    <row r="156" spans="2:23" ht="18.649999999999999" customHeight="1" x14ac:dyDescent="0.5">
      <c r="B156" s="233"/>
      <c r="C156" s="469"/>
      <c r="D156" s="478"/>
      <c r="E156" s="229"/>
      <c r="F156" s="138"/>
      <c r="G156" s="215"/>
      <c r="H156" s="149"/>
      <c r="I156" s="149"/>
      <c r="J156" s="133"/>
      <c r="K156" s="133"/>
      <c r="L156" s="133"/>
      <c r="M156" s="133"/>
      <c r="O156" s="234"/>
      <c r="Q156" s="515"/>
      <c r="R156" s="516"/>
      <c r="S156" s="516"/>
      <c r="T156" s="516"/>
      <c r="U156" s="516"/>
      <c r="V156" s="516"/>
      <c r="W156" s="517"/>
    </row>
    <row r="157" spans="2:23" ht="18.649999999999999" customHeight="1" x14ac:dyDescent="0.55000000000000004">
      <c r="B157" s="233"/>
      <c r="C157" s="257">
        <f>vzor_A!B161</f>
        <v>0</v>
      </c>
      <c r="D157" s="244"/>
      <c r="E157" s="246"/>
      <c r="F157" s="469" t="str">
        <f>vzor_A!H161</f>
        <v/>
      </c>
      <c r="G157" s="477" t="str">
        <f>IF(vzor_A!J161="","",vzor_A!J161)</f>
        <v/>
      </c>
      <c r="H157" s="229"/>
      <c r="I157" s="149"/>
      <c r="J157" s="133"/>
      <c r="K157" s="133"/>
      <c r="L157" s="133"/>
      <c r="M157" s="133"/>
      <c r="O157" s="234"/>
      <c r="Q157" s="515"/>
      <c r="R157" s="516"/>
      <c r="S157" s="516"/>
      <c r="T157" s="516"/>
      <c r="U157" s="516"/>
      <c r="V157" s="516"/>
      <c r="W157" s="517"/>
    </row>
    <row r="158" spans="2:23" ht="18.649999999999999" customHeight="1" x14ac:dyDescent="0.5">
      <c r="B158" s="233"/>
      <c r="C158" s="130"/>
      <c r="D158" s="245"/>
      <c r="E158" s="130"/>
      <c r="F158" s="469"/>
      <c r="G158" s="478"/>
      <c r="H158" s="229"/>
      <c r="I158" s="149"/>
      <c r="J158" s="133"/>
      <c r="K158" s="133"/>
      <c r="L158" s="133"/>
      <c r="M158" s="133"/>
      <c r="O158" s="234"/>
      <c r="Q158" s="515"/>
      <c r="R158" s="516"/>
      <c r="S158" s="516"/>
      <c r="T158" s="516"/>
      <c r="U158" s="516"/>
      <c r="V158" s="516"/>
      <c r="W158" s="517"/>
    </row>
    <row r="159" spans="2:23" ht="18.649999999999999" customHeight="1" x14ac:dyDescent="0.55000000000000004">
      <c r="B159" s="233"/>
      <c r="C159" s="469" t="str">
        <f>vzor_A!B163</f>
        <v/>
      </c>
      <c r="D159" s="477" t="str">
        <f>IF(vzor_A!F163="","",vzor_A!F163)</f>
        <v/>
      </c>
      <c r="E159" s="239"/>
      <c r="F159" s="254">
        <f>vzor_A!H163</f>
        <v>0</v>
      </c>
      <c r="G159" s="149"/>
      <c r="H159" s="149"/>
      <c r="I159" s="149"/>
      <c r="J159" s="133"/>
      <c r="K159" s="133"/>
      <c r="L159" s="133"/>
      <c r="M159" s="133"/>
      <c r="N159" s="130"/>
      <c r="O159" s="235"/>
      <c r="Q159" s="515"/>
      <c r="R159" s="516"/>
      <c r="S159" s="516"/>
      <c r="T159" s="516"/>
      <c r="U159" s="516"/>
      <c r="V159" s="516"/>
      <c r="W159" s="517"/>
    </row>
    <row r="160" spans="2:23" ht="18.649999999999999" customHeight="1" x14ac:dyDescent="0.55000000000000004">
      <c r="B160" s="233"/>
      <c r="C160" s="469"/>
      <c r="D160" s="478"/>
      <c r="E160" s="239"/>
      <c r="F160" s="149"/>
      <c r="G160" s="149"/>
      <c r="H160" s="149"/>
      <c r="I160" s="149"/>
      <c r="J160" s="133"/>
      <c r="K160" s="133"/>
      <c r="L160" s="265"/>
      <c r="M160" s="265"/>
      <c r="N160" s="265"/>
      <c r="O160" s="235"/>
      <c r="Q160" s="515"/>
      <c r="R160" s="516"/>
      <c r="S160" s="516"/>
      <c r="T160" s="516"/>
      <c r="U160" s="516"/>
      <c r="V160" s="516"/>
      <c r="W160" s="517"/>
    </row>
    <row r="161" spans="2:23" ht="18.649999999999999" customHeight="1" x14ac:dyDescent="0.55000000000000004">
      <c r="B161" s="233"/>
      <c r="C161" s="257">
        <f>vzor_A!B165</f>
        <v>0</v>
      </c>
      <c r="D161" s="264"/>
      <c r="E161" s="144"/>
      <c r="F161" s="149"/>
      <c r="G161" s="149"/>
      <c r="H161" s="149"/>
      <c r="I161" s="149"/>
      <c r="J161" s="133"/>
      <c r="K161" s="133"/>
      <c r="L161" s="266"/>
      <c r="M161" s="266"/>
      <c r="N161" s="266"/>
      <c r="O161" s="235"/>
      <c r="Q161" s="515"/>
      <c r="R161" s="516"/>
      <c r="S161" s="516"/>
      <c r="T161" s="516"/>
      <c r="U161" s="516"/>
      <c r="V161" s="516"/>
      <c r="W161" s="517"/>
    </row>
    <row r="162" spans="2:23" ht="18.649999999999999" customHeight="1" x14ac:dyDescent="0.5">
      <c r="B162" s="233"/>
      <c r="C162" s="149"/>
      <c r="D162" s="149"/>
      <c r="E162" s="149"/>
      <c r="F162" s="149"/>
      <c r="G162" s="149"/>
      <c r="H162" s="149"/>
      <c r="I162" s="149"/>
      <c r="J162" s="133"/>
      <c r="K162" s="133"/>
      <c r="L162" s="266"/>
      <c r="M162" s="266"/>
      <c r="N162" s="266"/>
      <c r="O162" s="235"/>
      <c r="Q162" s="515"/>
      <c r="R162" s="516"/>
      <c r="S162" s="516"/>
      <c r="T162" s="516"/>
      <c r="U162" s="516"/>
      <c r="V162" s="516"/>
      <c r="W162" s="517"/>
    </row>
    <row r="163" spans="2:23" ht="18.649999999999999" customHeight="1" x14ac:dyDescent="0.5">
      <c r="B163" s="233"/>
      <c r="C163" s="469" t="str">
        <f>vzor_A!B167</f>
        <v/>
      </c>
      <c r="D163" s="477" t="str">
        <f>IF(vzor_A!F167="","",vzor_A!F167)</f>
        <v/>
      </c>
      <c r="E163" s="229"/>
      <c r="F163" s="138"/>
      <c r="G163" s="130"/>
      <c r="H163" s="130"/>
      <c r="I163" s="130"/>
      <c r="J163" s="133"/>
      <c r="K163" s="133"/>
      <c r="L163" s="133"/>
      <c r="M163" s="241"/>
      <c r="N163" s="130"/>
      <c r="O163" s="235"/>
      <c r="Q163" s="515"/>
      <c r="R163" s="516"/>
      <c r="S163" s="516"/>
      <c r="T163" s="516"/>
      <c r="U163" s="516"/>
      <c r="V163" s="516"/>
      <c r="W163" s="517"/>
    </row>
    <row r="164" spans="2:23" ht="18.649999999999999" customHeight="1" x14ac:dyDescent="0.5">
      <c r="B164" s="233"/>
      <c r="C164" s="469"/>
      <c r="D164" s="478"/>
      <c r="E164" s="229"/>
      <c r="F164" s="138"/>
      <c r="G164" s="130"/>
      <c r="H164" s="130"/>
      <c r="I164" s="130"/>
      <c r="J164" s="133"/>
      <c r="K164" s="133"/>
      <c r="L164" s="133"/>
      <c r="M164" s="133"/>
      <c r="N164" s="130"/>
      <c r="O164" s="235"/>
      <c r="Q164" s="515"/>
      <c r="R164" s="516"/>
      <c r="S164" s="516"/>
      <c r="T164" s="516"/>
      <c r="U164" s="516"/>
      <c r="V164" s="516"/>
      <c r="W164" s="517"/>
    </row>
    <row r="165" spans="2:23" ht="18.649999999999999" customHeight="1" x14ac:dyDescent="0.55000000000000004">
      <c r="B165" s="233"/>
      <c r="C165" s="257">
        <f>vzor_A!B169</f>
        <v>0</v>
      </c>
      <c r="D165" s="244"/>
      <c r="E165" s="246"/>
      <c r="F165" s="469" t="str">
        <f>vzor_A!H169</f>
        <v/>
      </c>
      <c r="G165" s="477" t="str">
        <f>IF(vzor_A!J169="","",vzor_A!J169)</f>
        <v/>
      </c>
      <c r="H165" s="229"/>
      <c r="I165" s="130"/>
      <c r="J165" s="133"/>
      <c r="K165" s="133"/>
      <c r="L165" s="133"/>
      <c r="M165" s="133"/>
      <c r="N165" s="130"/>
      <c r="O165" s="235"/>
      <c r="Q165" s="515"/>
      <c r="R165" s="516"/>
      <c r="S165" s="516"/>
      <c r="T165" s="516"/>
      <c r="U165" s="516"/>
      <c r="V165" s="516"/>
      <c r="W165" s="517"/>
    </row>
    <row r="166" spans="2:23" ht="18.649999999999999" customHeight="1" x14ac:dyDescent="0.5">
      <c r="B166" s="233"/>
      <c r="C166" s="130"/>
      <c r="D166" s="245"/>
      <c r="E166" s="130"/>
      <c r="F166" s="469"/>
      <c r="G166" s="478"/>
      <c r="H166" s="229"/>
      <c r="I166" s="130"/>
      <c r="J166" s="133"/>
      <c r="K166" s="133"/>
      <c r="L166" s="133"/>
      <c r="M166" s="133"/>
      <c r="N166" s="130"/>
      <c r="O166" s="235"/>
      <c r="Q166" s="515"/>
      <c r="R166" s="516"/>
      <c r="S166" s="516"/>
      <c r="T166" s="516"/>
      <c r="U166" s="516"/>
      <c r="V166" s="516"/>
      <c r="W166" s="517"/>
    </row>
    <row r="167" spans="2:23" ht="18.649999999999999" customHeight="1" x14ac:dyDescent="0.55000000000000004">
      <c r="B167" s="233"/>
      <c r="C167" s="469" t="str">
        <f>vzor_A!B171</f>
        <v/>
      </c>
      <c r="D167" s="477" t="str">
        <f>IF(vzor_A!F171="","",vzor_A!F171)</f>
        <v/>
      </c>
      <c r="E167" s="239"/>
      <c r="F167" s="254">
        <f>vzor_A!H171</f>
        <v>0</v>
      </c>
      <c r="G167" s="215"/>
      <c r="H167" s="149"/>
      <c r="I167" s="149"/>
      <c r="J167" s="133"/>
      <c r="K167" s="133"/>
      <c r="L167" s="133"/>
      <c r="M167" s="133"/>
      <c r="N167" s="130"/>
      <c r="O167" s="235"/>
      <c r="Q167" s="515"/>
      <c r="R167" s="516"/>
      <c r="S167" s="516"/>
      <c r="T167" s="516"/>
      <c r="U167" s="516"/>
      <c r="V167" s="516"/>
      <c r="W167" s="517"/>
    </row>
    <row r="168" spans="2:23" ht="18.649999999999999" customHeight="1" x14ac:dyDescent="0.55000000000000004">
      <c r="B168" s="233"/>
      <c r="C168" s="469"/>
      <c r="D168" s="478"/>
      <c r="E168" s="239"/>
      <c r="F168" s="149"/>
      <c r="G168" s="215"/>
      <c r="H168" s="149"/>
      <c r="I168" s="149"/>
      <c r="J168" s="133"/>
      <c r="K168" s="133"/>
      <c r="L168" s="133"/>
      <c r="M168" s="255" t="s">
        <v>225</v>
      </c>
      <c r="N168" s="130"/>
      <c r="O168" s="235"/>
      <c r="Q168" s="515"/>
      <c r="R168" s="516"/>
      <c r="S168" s="516"/>
      <c r="T168" s="516"/>
      <c r="U168" s="516"/>
      <c r="V168" s="516"/>
      <c r="W168" s="517"/>
    </row>
    <row r="169" spans="2:23" ht="18.649999999999999" customHeight="1" x14ac:dyDescent="0.55000000000000004">
      <c r="B169" s="233"/>
      <c r="C169" s="257">
        <f>vzor_A!B173</f>
        <v>0</v>
      </c>
      <c r="D169" s="264"/>
      <c r="E169" s="144"/>
      <c r="F169" s="149"/>
      <c r="G169" s="216"/>
      <c r="H169" s="247"/>
      <c r="I169" s="500" t="str">
        <f>vzor_A!N173</f>
        <v/>
      </c>
      <c r="J169" s="501"/>
      <c r="K169" s="229"/>
      <c r="L169" s="494" t="s">
        <v>154</v>
      </c>
      <c r="M169" s="496" t="str">
        <f>vzor_A!AJ151</f>
        <v/>
      </c>
      <c r="N169" s="498" t="str">
        <f>IF(vzor_A!AP151="","",vzor_A!AP151)</f>
        <v>1.</v>
      </c>
      <c r="O169" s="235"/>
      <c r="Q169" s="515"/>
      <c r="R169" s="516"/>
      <c r="S169" s="516"/>
      <c r="T169" s="516"/>
      <c r="U169" s="516"/>
      <c r="V169" s="516"/>
      <c r="W169" s="517"/>
    </row>
    <row r="170" spans="2:23" ht="18.649999999999999" customHeight="1" x14ac:dyDescent="0.5">
      <c r="B170" s="233"/>
      <c r="C170" s="149"/>
      <c r="D170" s="149"/>
      <c r="E170" s="149"/>
      <c r="F170" s="149"/>
      <c r="G170" s="216"/>
      <c r="H170" s="216"/>
      <c r="I170" s="500"/>
      <c r="J170" s="501"/>
      <c r="K170" s="229"/>
      <c r="L170" s="495"/>
      <c r="M170" s="497"/>
      <c r="N170" s="499"/>
      <c r="O170" s="235"/>
      <c r="Q170" s="515"/>
      <c r="R170" s="516"/>
      <c r="S170" s="516"/>
      <c r="T170" s="516"/>
      <c r="U170" s="516"/>
      <c r="V170" s="516"/>
      <c r="W170" s="517"/>
    </row>
    <row r="171" spans="2:23" ht="18.649999999999999" customHeight="1" x14ac:dyDescent="0.55000000000000004">
      <c r="B171" s="233"/>
      <c r="C171" s="469" t="str">
        <f>vzor_A!B175</f>
        <v/>
      </c>
      <c r="D171" s="477" t="str">
        <f>IF(vzor_A!F175="","",vzor_A!F175)</f>
        <v/>
      </c>
      <c r="E171" s="229"/>
      <c r="F171" s="138"/>
      <c r="G171" s="213"/>
      <c r="H171" s="243"/>
      <c r="I171" s="254">
        <f>vzor_A!N175</f>
        <v>0</v>
      </c>
      <c r="J171" s="133"/>
      <c r="K171" s="133"/>
      <c r="L171" s="133"/>
      <c r="M171" s="258">
        <f>vzor_A!AJ153</f>
        <v>0</v>
      </c>
      <c r="N171" s="130"/>
      <c r="O171" s="235"/>
      <c r="Q171" s="515"/>
      <c r="R171" s="516"/>
      <c r="S171" s="516"/>
      <c r="T171" s="516"/>
      <c r="U171" s="516"/>
      <c r="V171" s="516"/>
      <c r="W171" s="517"/>
    </row>
    <row r="172" spans="2:23" ht="18.649999999999999" customHeight="1" x14ac:dyDescent="0.5">
      <c r="B172" s="233"/>
      <c r="C172" s="469"/>
      <c r="D172" s="478"/>
      <c r="E172" s="229"/>
      <c r="F172" s="138"/>
      <c r="G172" s="215"/>
      <c r="H172" s="149"/>
      <c r="I172" s="149"/>
      <c r="J172" s="133"/>
      <c r="K172" s="133"/>
      <c r="L172" s="494" t="s">
        <v>160</v>
      </c>
      <c r="M172" s="496" t="str">
        <f>vzor_A!AJ155</f>
        <v/>
      </c>
      <c r="N172" s="498" t="str">
        <f>IF(vzor_A!AP155="","",vzor_A!AP155)</f>
        <v>2.</v>
      </c>
      <c r="O172" s="235"/>
      <c r="Q172" s="515"/>
      <c r="R172" s="516"/>
      <c r="S172" s="516"/>
      <c r="T172" s="516"/>
      <c r="U172" s="516"/>
      <c r="V172" s="516"/>
      <c r="W172" s="517"/>
    </row>
    <row r="173" spans="2:23" ht="18.649999999999999" customHeight="1" x14ac:dyDescent="0.55000000000000004">
      <c r="B173" s="233"/>
      <c r="C173" s="257">
        <f>vzor_A!B177</f>
        <v>0</v>
      </c>
      <c r="D173" s="244"/>
      <c r="E173" s="246"/>
      <c r="F173" s="469" t="str">
        <f>vzor_A!H177</f>
        <v/>
      </c>
      <c r="G173" s="477" t="str">
        <f>IF(vzor_A!J177="","",vzor_A!J177)</f>
        <v/>
      </c>
      <c r="H173" s="229"/>
      <c r="I173" s="149"/>
      <c r="J173" s="133"/>
      <c r="K173" s="133"/>
      <c r="L173" s="495"/>
      <c r="M173" s="497"/>
      <c r="N173" s="499"/>
      <c r="O173" s="235"/>
      <c r="Q173" s="515"/>
      <c r="R173" s="516"/>
      <c r="S173" s="516"/>
      <c r="T173" s="516"/>
      <c r="U173" s="516"/>
      <c r="V173" s="516"/>
      <c r="W173" s="517"/>
    </row>
    <row r="174" spans="2:23" ht="18.649999999999999" customHeight="1" x14ac:dyDescent="0.5">
      <c r="B174" s="233"/>
      <c r="C174" s="158"/>
      <c r="D174" s="245"/>
      <c r="E174" s="130"/>
      <c r="F174" s="469"/>
      <c r="G174" s="478"/>
      <c r="H174" s="229"/>
      <c r="I174" s="149"/>
      <c r="J174" s="133"/>
      <c r="K174" s="133"/>
      <c r="L174" s="133"/>
      <c r="M174" s="258">
        <f>vzor_A!AJ157</f>
        <v>0</v>
      </c>
      <c r="N174" s="130"/>
      <c r="O174" s="235"/>
      <c r="Q174" s="515"/>
      <c r="R174" s="516"/>
      <c r="S174" s="516"/>
      <c r="T174" s="516"/>
      <c r="U174" s="516"/>
      <c r="V174" s="516"/>
      <c r="W174" s="517"/>
    </row>
    <row r="175" spans="2:23" ht="18.649999999999999" customHeight="1" x14ac:dyDescent="0.55000000000000004">
      <c r="B175" s="233"/>
      <c r="C175" s="469" t="str">
        <f>vzor_A!B179</f>
        <v/>
      </c>
      <c r="D175" s="477" t="str">
        <f>IF(vzor_A!F179="","",vzor_A!F179)</f>
        <v/>
      </c>
      <c r="E175" s="239"/>
      <c r="F175" s="254">
        <f>vzor_A!H179</f>
        <v>0</v>
      </c>
      <c r="G175" s="149"/>
      <c r="H175" s="149"/>
      <c r="I175" s="149"/>
      <c r="J175" s="226"/>
      <c r="K175" s="226"/>
      <c r="L175" s="494" t="s">
        <v>163</v>
      </c>
      <c r="M175" s="496" t="str">
        <f>vzor_A!AJ159</f>
        <v/>
      </c>
      <c r="N175" s="498" t="str">
        <f>IF(vzor_A!AP159="","",vzor_A!AP159)</f>
        <v>3.</v>
      </c>
      <c r="O175" s="235"/>
      <c r="Q175" s="515"/>
      <c r="R175" s="516"/>
      <c r="S175" s="516"/>
      <c r="T175" s="516"/>
      <c r="U175" s="516"/>
      <c r="V175" s="516"/>
      <c r="W175" s="517"/>
    </row>
    <row r="176" spans="2:23" ht="18.649999999999999" customHeight="1" x14ac:dyDescent="0.4">
      <c r="B176" s="233"/>
      <c r="C176" s="469"/>
      <c r="D176" s="478"/>
      <c r="E176" s="239"/>
      <c r="F176" s="149"/>
      <c r="G176" s="149"/>
      <c r="H176" s="149"/>
      <c r="I176" s="149"/>
      <c r="J176" s="226"/>
      <c r="K176" s="226"/>
      <c r="L176" s="495"/>
      <c r="M176" s="497"/>
      <c r="N176" s="499"/>
      <c r="O176" s="236"/>
      <c r="Q176" s="515"/>
      <c r="R176" s="516"/>
      <c r="S176" s="516"/>
      <c r="T176" s="516"/>
      <c r="U176" s="516"/>
      <c r="V176" s="516"/>
      <c r="W176" s="517"/>
    </row>
    <row r="177" spans="2:23" ht="20.6" x14ac:dyDescent="0.55000000000000004">
      <c r="B177" s="233"/>
      <c r="C177" s="257">
        <f>vzor_A!B181</f>
        <v>0</v>
      </c>
      <c r="D177" s="264"/>
      <c r="E177" s="144"/>
      <c r="F177" s="149"/>
      <c r="G177" s="149"/>
      <c r="H177" s="149"/>
      <c r="I177" s="149"/>
      <c r="J177" s="226"/>
      <c r="K177" s="226"/>
      <c r="L177" s="133"/>
      <c r="M177" s="258">
        <f>vzor_A!AJ161</f>
        <v>0</v>
      </c>
      <c r="N177" s="133"/>
      <c r="O177" s="248"/>
      <c r="Q177" s="515"/>
      <c r="R177" s="516"/>
      <c r="S177" s="516"/>
      <c r="T177" s="516"/>
      <c r="U177" s="516"/>
      <c r="V177" s="516"/>
      <c r="W177" s="517"/>
    </row>
    <row r="178" spans="2:23" ht="20.6" x14ac:dyDescent="0.5">
      <c r="B178" s="233"/>
      <c r="C178" s="241"/>
      <c r="D178" s="144"/>
      <c r="E178" s="144"/>
      <c r="F178" s="149"/>
      <c r="G178" s="149"/>
      <c r="H178" s="149"/>
      <c r="I178" s="149"/>
      <c r="J178" s="226"/>
      <c r="K178" s="226"/>
      <c r="L178" s="133"/>
      <c r="M178" s="133"/>
      <c r="N178" s="133"/>
      <c r="O178" s="248"/>
      <c r="Q178" s="515"/>
      <c r="R178" s="516"/>
      <c r="S178" s="516"/>
      <c r="T178" s="516"/>
      <c r="U178" s="516"/>
      <c r="V178" s="516"/>
      <c r="W178" s="517"/>
    </row>
    <row r="179" spans="2:23" ht="18.649999999999999" customHeight="1" x14ac:dyDescent="0.5">
      <c r="B179" s="251"/>
      <c r="C179" s="242"/>
      <c r="D179" s="237"/>
      <c r="E179" s="237"/>
      <c r="F179" s="249"/>
      <c r="G179" s="249"/>
      <c r="H179" s="249"/>
      <c r="I179" s="249"/>
      <c r="J179" s="227"/>
      <c r="K179" s="227"/>
      <c r="L179" s="250"/>
      <c r="M179" s="250"/>
      <c r="N179" s="250"/>
      <c r="O179" s="238"/>
      <c r="Q179" s="518"/>
      <c r="R179" s="519"/>
      <c r="S179" s="519"/>
      <c r="T179" s="519"/>
      <c r="U179" s="519"/>
      <c r="V179" s="519"/>
      <c r="W179" s="520"/>
    </row>
    <row r="182" spans="2:23" ht="27" customHeight="1" x14ac:dyDescent="0.55000000000000004">
      <c r="B182" s="230"/>
      <c r="C182" s="259" t="s">
        <v>224</v>
      </c>
      <c r="D182" s="231"/>
      <c r="E182" s="231"/>
      <c r="F182" s="232"/>
      <c r="G182" s="231"/>
      <c r="H182" s="231"/>
      <c r="I182" s="231"/>
      <c r="J182" s="154"/>
      <c r="K182" s="154"/>
      <c r="L182" s="154"/>
      <c r="M182" s="154"/>
      <c r="N182" s="467"/>
      <c r="O182" s="468"/>
    </row>
    <row r="183" spans="2:23" ht="18.649999999999999" customHeight="1" x14ac:dyDescent="0.5">
      <c r="B183" s="233"/>
      <c r="C183" s="469" t="str">
        <f>vzor_A!B183</f>
        <v/>
      </c>
      <c r="D183" s="477" t="str">
        <f>IF(vzor_A!F183="","",vzor_A!F183)</f>
        <v/>
      </c>
      <c r="E183" s="229"/>
      <c r="F183" s="141"/>
      <c r="G183" s="130"/>
      <c r="H183" s="130"/>
      <c r="I183" s="130"/>
      <c r="J183" s="133"/>
      <c r="K183" s="133"/>
      <c r="L183" s="471">
        <f>vzor_A!$B$8</f>
        <v>0</v>
      </c>
      <c r="M183" s="472"/>
      <c r="N183" s="473"/>
      <c r="O183" s="234"/>
      <c r="Q183" s="511" t="s">
        <v>296</v>
      </c>
      <c r="R183" s="503"/>
      <c r="S183" s="503"/>
      <c r="T183" s="503"/>
      <c r="U183" s="503"/>
      <c r="V183" s="503"/>
      <c r="W183" s="504"/>
    </row>
    <row r="184" spans="2:23" ht="18.649999999999999" customHeight="1" x14ac:dyDescent="0.55000000000000004">
      <c r="B184" s="233"/>
      <c r="C184" s="469"/>
      <c r="D184" s="478"/>
      <c r="E184" s="229"/>
      <c r="F184" s="255" t="s">
        <v>224</v>
      </c>
      <c r="G184" s="130"/>
      <c r="H184" s="130"/>
      <c r="I184" s="130"/>
      <c r="J184" s="133"/>
      <c r="K184" s="133"/>
      <c r="L184" s="474"/>
      <c r="M184" s="475"/>
      <c r="N184" s="476"/>
      <c r="O184" s="234"/>
      <c r="Q184" s="505"/>
      <c r="R184" s="506"/>
      <c r="S184" s="506"/>
      <c r="T184" s="506"/>
      <c r="U184" s="506"/>
      <c r="V184" s="506"/>
      <c r="W184" s="507"/>
    </row>
    <row r="185" spans="2:23" ht="18.649999999999999" customHeight="1" x14ac:dyDescent="0.55000000000000004">
      <c r="B185" s="233"/>
      <c r="C185" s="257">
        <f>vzor_A!B185</f>
        <v>0</v>
      </c>
      <c r="D185" s="244"/>
      <c r="E185" s="246"/>
      <c r="F185" s="469" t="str">
        <f>vzor_A!H185</f>
        <v/>
      </c>
      <c r="G185" s="477" t="str">
        <f>IF(vzor_A!J185="","",vzor_A!J185)</f>
        <v/>
      </c>
      <c r="H185" s="229"/>
      <c r="I185" s="130"/>
      <c r="J185" s="133"/>
      <c r="K185" s="133"/>
      <c r="L185" s="479">
        <f>vzor_A!$B$14</f>
        <v>0</v>
      </c>
      <c r="M185" s="480"/>
      <c r="N185" s="481"/>
      <c r="O185" s="234"/>
      <c r="Q185" s="505"/>
      <c r="R185" s="506"/>
      <c r="S185" s="506"/>
      <c r="T185" s="506"/>
      <c r="U185" s="506"/>
      <c r="V185" s="506"/>
      <c r="W185" s="507"/>
    </row>
    <row r="186" spans="2:23" ht="18.649999999999999" customHeight="1" x14ac:dyDescent="0.5">
      <c r="B186" s="233"/>
      <c r="C186" s="130"/>
      <c r="D186" s="245"/>
      <c r="E186" s="130"/>
      <c r="F186" s="469"/>
      <c r="G186" s="478"/>
      <c r="H186" s="229"/>
      <c r="I186" s="130"/>
      <c r="J186" s="133"/>
      <c r="K186" s="133"/>
      <c r="L186" s="482"/>
      <c r="M186" s="483"/>
      <c r="N186" s="484"/>
      <c r="O186" s="234"/>
      <c r="Q186" s="508"/>
      <c r="R186" s="509"/>
      <c r="S186" s="509"/>
      <c r="T186" s="509"/>
      <c r="U186" s="509"/>
      <c r="V186" s="509"/>
      <c r="W186" s="510"/>
    </row>
    <row r="187" spans="2:23" ht="18.649999999999999" customHeight="1" x14ac:dyDescent="0.55000000000000004">
      <c r="B187" s="233"/>
      <c r="C187" s="469" t="str">
        <f>vzor_A!B187</f>
        <v/>
      </c>
      <c r="D187" s="477" t="str">
        <f>IF(vzor_A!F187="","",vzor_A!F187)</f>
        <v/>
      </c>
      <c r="E187" s="239"/>
      <c r="F187" s="254">
        <f>vzor_A!H187</f>
        <v>0</v>
      </c>
      <c r="G187" s="215"/>
      <c r="H187" s="149"/>
      <c r="I187" s="149"/>
      <c r="J187" s="133"/>
      <c r="K187" s="133"/>
      <c r="L187" s="521" t="s">
        <v>293</v>
      </c>
      <c r="M187" s="522"/>
      <c r="N187" s="523"/>
      <c r="O187" s="234"/>
    </row>
    <row r="188" spans="2:23" ht="18.649999999999999" customHeight="1" x14ac:dyDescent="0.55000000000000004">
      <c r="B188" s="233"/>
      <c r="C188" s="469"/>
      <c r="D188" s="478"/>
      <c r="E188" s="239"/>
      <c r="F188" s="262"/>
      <c r="G188" s="215"/>
      <c r="H188" s="149"/>
      <c r="I188" s="260" t="s">
        <v>224</v>
      </c>
      <c r="J188" s="133"/>
      <c r="K188" s="133"/>
      <c r="L188" s="524"/>
      <c r="M188" s="525"/>
      <c r="N188" s="526"/>
      <c r="O188" s="234"/>
      <c r="Q188" s="512">
        <v>6</v>
      </c>
      <c r="R188" s="513"/>
      <c r="S188" s="513"/>
      <c r="T188" s="513"/>
      <c r="U188" s="513"/>
      <c r="V188" s="513"/>
      <c r="W188" s="514"/>
    </row>
    <row r="189" spans="2:23" ht="18.649999999999999" customHeight="1" x14ac:dyDescent="0.55000000000000004">
      <c r="B189" s="233"/>
      <c r="C189" s="257">
        <f>vzor_A!B189</f>
        <v>0</v>
      </c>
      <c r="D189" s="264"/>
      <c r="E189" s="149"/>
      <c r="F189" s="149"/>
      <c r="G189" s="216"/>
      <c r="H189" s="247"/>
      <c r="I189" s="500" t="str">
        <f>vzor_A!N189</f>
        <v/>
      </c>
      <c r="J189" s="501"/>
      <c r="K189" s="229"/>
      <c r="L189" s="229"/>
      <c r="M189" s="133"/>
      <c r="O189" s="234"/>
      <c r="Q189" s="515"/>
      <c r="R189" s="516"/>
      <c r="S189" s="516"/>
      <c r="T189" s="516"/>
      <c r="U189" s="516"/>
      <c r="V189" s="516"/>
      <c r="W189" s="517"/>
    </row>
    <row r="190" spans="2:23" ht="18.649999999999999" customHeight="1" x14ac:dyDescent="0.5">
      <c r="B190" s="233"/>
      <c r="C190" s="151"/>
      <c r="D190" s="149"/>
      <c r="E190" s="149"/>
      <c r="F190" s="149"/>
      <c r="G190" s="216"/>
      <c r="H190" s="150"/>
      <c r="I190" s="500"/>
      <c r="J190" s="501"/>
      <c r="K190" s="229"/>
      <c r="L190" s="229"/>
      <c r="M190" s="133"/>
      <c r="O190" s="234"/>
      <c r="Q190" s="515"/>
      <c r="R190" s="516"/>
      <c r="S190" s="516"/>
      <c r="T190" s="516"/>
      <c r="U190" s="516"/>
      <c r="V190" s="516"/>
      <c r="W190" s="517"/>
    </row>
    <row r="191" spans="2:23" ht="18.649999999999999" customHeight="1" x14ac:dyDescent="0.55000000000000004">
      <c r="B191" s="233"/>
      <c r="C191" s="469" t="str">
        <f>vzor_A!B191</f>
        <v/>
      </c>
      <c r="D191" s="477" t="str">
        <f>IF(vzor_A!F191="","",vzor_A!F191)</f>
        <v/>
      </c>
      <c r="E191" s="229"/>
      <c r="F191" s="138"/>
      <c r="G191" s="213"/>
      <c r="H191" s="243"/>
      <c r="I191" s="254">
        <f>vzor_A!N191</f>
        <v>0</v>
      </c>
      <c r="J191" s="133"/>
      <c r="K191" s="133"/>
      <c r="L191" s="133"/>
      <c r="M191" s="133"/>
      <c r="O191" s="234"/>
      <c r="Q191" s="515"/>
      <c r="R191" s="516"/>
      <c r="S191" s="516"/>
      <c r="T191" s="516"/>
      <c r="U191" s="516"/>
      <c r="V191" s="516"/>
      <c r="W191" s="517"/>
    </row>
    <row r="192" spans="2:23" ht="18.649999999999999" customHeight="1" x14ac:dyDescent="0.5">
      <c r="B192" s="233"/>
      <c r="C192" s="469"/>
      <c r="D192" s="478"/>
      <c r="E192" s="229"/>
      <c r="F192" s="138"/>
      <c r="G192" s="215"/>
      <c r="H192" s="149"/>
      <c r="I192" s="149"/>
      <c r="J192" s="133"/>
      <c r="K192" s="133"/>
      <c r="L192" s="133"/>
      <c r="M192" s="133"/>
      <c r="O192" s="234"/>
      <c r="Q192" s="515"/>
      <c r="R192" s="516"/>
      <c r="S192" s="516"/>
      <c r="T192" s="516"/>
      <c r="U192" s="516"/>
      <c r="V192" s="516"/>
      <c r="W192" s="517"/>
    </row>
    <row r="193" spans="2:23" ht="18.649999999999999" customHeight="1" x14ac:dyDescent="0.55000000000000004">
      <c r="B193" s="233"/>
      <c r="C193" s="257">
        <f>vzor_A!B193</f>
        <v>0</v>
      </c>
      <c r="D193" s="244"/>
      <c r="E193" s="246"/>
      <c r="F193" s="469" t="str">
        <f>vzor_A!H193</f>
        <v/>
      </c>
      <c r="G193" s="477" t="str">
        <f>IF(vzor_A!J193="","",vzor_A!J193)</f>
        <v/>
      </c>
      <c r="H193" s="229"/>
      <c r="I193" s="149"/>
      <c r="J193" s="133"/>
      <c r="K193" s="133"/>
      <c r="L193" s="133"/>
      <c r="M193" s="133"/>
      <c r="O193" s="234"/>
      <c r="Q193" s="515"/>
      <c r="R193" s="516"/>
      <c r="S193" s="516"/>
      <c r="T193" s="516"/>
      <c r="U193" s="516"/>
      <c r="V193" s="516"/>
      <c r="W193" s="517"/>
    </row>
    <row r="194" spans="2:23" ht="18.649999999999999" customHeight="1" x14ac:dyDescent="0.5">
      <c r="B194" s="233"/>
      <c r="C194" s="130"/>
      <c r="D194" s="245"/>
      <c r="E194" s="130"/>
      <c r="F194" s="469"/>
      <c r="G194" s="478"/>
      <c r="H194" s="229"/>
      <c r="I194" s="149"/>
      <c r="J194" s="133"/>
      <c r="K194" s="133"/>
      <c r="L194" s="133"/>
      <c r="M194" s="133"/>
      <c r="O194" s="234"/>
      <c r="Q194" s="515"/>
      <c r="R194" s="516"/>
      <c r="S194" s="516"/>
      <c r="T194" s="516"/>
      <c r="U194" s="516"/>
      <c r="V194" s="516"/>
      <c r="W194" s="517"/>
    </row>
    <row r="195" spans="2:23" ht="18.649999999999999" customHeight="1" x14ac:dyDescent="0.55000000000000004">
      <c r="B195" s="233"/>
      <c r="C195" s="469" t="str">
        <f>vzor_A!B195</f>
        <v/>
      </c>
      <c r="D195" s="477" t="str">
        <f>IF(vzor_A!F195="","",vzor_A!F195)</f>
        <v/>
      </c>
      <c r="E195" s="239"/>
      <c r="F195" s="254">
        <f>vzor_A!H195</f>
        <v>0</v>
      </c>
      <c r="G195" s="149"/>
      <c r="H195" s="149"/>
      <c r="I195" s="149"/>
      <c r="J195" s="133"/>
      <c r="K195" s="133"/>
      <c r="L195" s="133"/>
      <c r="M195" s="133"/>
      <c r="N195" s="130"/>
      <c r="O195" s="235"/>
      <c r="Q195" s="515"/>
      <c r="R195" s="516"/>
      <c r="S195" s="516"/>
      <c r="T195" s="516"/>
      <c r="U195" s="516"/>
      <c r="V195" s="516"/>
      <c r="W195" s="517"/>
    </row>
    <row r="196" spans="2:23" ht="18.649999999999999" customHeight="1" x14ac:dyDescent="0.55000000000000004">
      <c r="B196" s="233"/>
      <c r="C196" s="469"/>
      <c r="D196" s="478"/>
      <c r="E196" s="239"/>
      <c r="F196" s="149"/>
      <c r="G196" s="149"/>
      <c r="H196" s="149"/>
      <c r="I196" s="149"/>
      <c r="J196" s="133"/>
      <c r="K196" s="133"/>
      <c r="L196" s="265"/>
      <c r="M196" s="265"/>
      <c r="N196" s="265"/>
      <c r="O196" s="235"/>
      <c r="Q196" s="515"/>
      <c r="R196" s="516"/>
      <c r="S196" s="516"/>
      <c r="T196" s="516"/>
      <c r="U196" s="516"/>
      <c r="V196" s="516"/>
      <c r="W196" s="517"/>
    </row>
    <row r="197" spans="2:23" ht="18.649999999999999" customHeight="1" x14ac:dyDescent="0.55000000000000004">
      <c r="B197" s="233"/>
      <c r="C197" s="257">
        <f>vzor_A!B197</f>
        <v>0</v>
      </c>
      <c r="D197" s="264"/>
      <c r="E197" s="144"/>
      <c r="F197" s="149"/>
      <c r="G197" s="149"/>
      <c r="H197" s="149"/>
      <c r="I197" s="149"/>
      <c r="J197" s="133"/>
      <c r="K197" s="133"/>
      <c r="L197" s="266"/>
      <c r="M197" s="266"/>
      <c r="N197" s="266"/>
      <c r="O197" s="235"/>
      <c r="Q197" s="515"/>
      <c r="R197" s="516"/>
      <c r="S197" s="516"/>
      <c r="T197" s="516"/>
      <c r="U197" s="516"/>
      <c r="V197" s="516"/>
      <c r="W197" s="517"/>
    </row>
    <row r="198" spans="2:23" ht="18.649999999999999" customHeight="1" x14ac:dyDescent="0.5">
      <c r="B198" s="233"/>
      <c r="C198" s="149"/>
      <c r="D198" s="149"/>
      <c r="E198" s="149"/>
      <c r="F198" s="149"/>
      <c r="G198" s="149"/>
      <c r="H198" s="149"/>
      <c r="I198" s="149"/>
      <c r="J198" s="133"/>
      <c r="K198" s="133"/>
      <c r="L198" s="266"/>
      <c r="M198" s="266"/>
      <c r="N198" s="266"/>
      <c r="O198" s="235"/>
      <c r="Q198" s="515"/>
      <c r="R198" s="516"/>
      <c r="S198" s="516"/>
      <c r="T198" s="516"/>
      <c r="U198" s="516"/>
      <c r="V198" s="516"/>
      <c r="W198" s="517"/>
    </row>
    <row r="199" spans="2:23" ht="18.649999999999999" customHeight="1" x14ac:dyDescent="0.5">
      <c r="B199" s="233"/>
      <c r="C199" s="469" t="str">
        <f>vzor_A!B199</f>
        <v/>
      </c>
      <c r="D199" s="477" t="str">
        <f>IF(vzor_A!F199="","",vzor_A!F199)</f>
        <v/>
      </c>
      <c r="E199" s="229"/>
      <c r="F199" s="138"/>
      <c r="G199" s="130"/>
      <c r="H199" s="130"/>
      <c r="I199" s="130"/>
      <c r="J199" s="133"/>
      <c r="K199" s="133"/>
      <c r="L199" s="133"/>
      <c r="M199" s="241"/>
      <c r="N199" s="130"/>
      <c r="O199" s="235"/>
      <c r="Q199" s="515"/>
      <c r="R199" s="516"/>
      <c r="S199" s="516"/>
      <c r="T199" s="516"/>
      <c r="U199" s="516"/>
      <c r="V199" s="516"/>
      <c r="W199" s="517"/>
    </row>
    <row r="200" spans="2:23" ht="18.649999999999999" customHeight="1" x14ac:dyDescent="0.5">
      <c r="B200" s="233"/>
      <c r="C200" s="469"/>
      <c r="D200" s="478"/>
      <c r="E200" s="229"/>
      <c r="F200" s="138"/>
      <c r="G200" s="130"/>
      <c r="H200" s="130"/>
      <c r="I200" s="130"/>
      <c r="J200" s="133"/>
      <c r="K200" s="133"/>
      <c r="L200" s="133"/>
      <c r="M200" s="133"/>
      <c r="N200" s="130"/>
      <c r="O200" s="235"/>
      <c r="Q200" s="515"/>
      <c r="R200" s="516"/>
      <c r="S200" s="516"/>
      <c r="T200" s="516"/>
      <c r="U200" s="516"/>
      <c r="V200" s="516"/>
      <c r="W200" s="517"/>
    </row>
    <row r="201" spans="2:23" ht="18.649999999999999" customHeight="1" x14ac:dyDescent="0.55000000000000004">
      <c r="B201" s="233"/>
      <c r="C201" s="257">
        <f>vzor_A!B201</f>
        <v>0</v>
      </c>
      <c r="D201" s="244"/>
      <c r="E201" s="246"/>
      <c r="F201" s="469" t="str">
        <f>vzor_A!H201</f>
        <v/>
      </c>
      <c r="G201" s="477" t="str">
        <f>IF(vzor_A!J201="","",vzor_A!J201)</f>
        <v/>
      </c>
      <c r="H201" s="229"/>
      <c r="I201" s="130"/>
      <c r="J201" s="133"/>
      <c r="K201" s="133"/>
      <c r="L201" s="133"/>
      <c r="M201" s="133"/>
      <c r="N201" s="130"/>
      <c r="O201" s="235"/>
      <c r="Q201" s="515"/>
      <c r="R201" s="516"/>
      <c r="S201" s="516"/>
      <c r="T201" s="516"/>
      <c r="U201" s="516"/>
      <c r="V201" s="516"/>
      <c r="W201" s="517"/>
    </row>
    <row r="202" spans="2:23" ht="18.649999999999999" customHeight="1" x14ac:dyDescent="0.5">
      <c r="B202" s="233"/>
      <c r="C202" s="130"/>
      <c r="D202" s="245"/>
      <c r="E202" s="130"/>
      <c r="F202" s="469"/>
      <c r="G202" s="478"/>
      <c r="H202" s="229"/>
      <c r="I202" s="130"/>
      <c r="J202" s="133"/>
      <c r="K202" s="133"/>
      <c r="L202" s="133"/>
      <c r="M202" s="133"/>
      <c r="N202" s="130"/>
      <c r="O202" s="235"/>
      <c r="Q202" s="515"/>
      <c r="R202" s="516"/>
      <c r="S202" s="516"/>
      <c r="T202" s="516"/>
      <c r="U202" s="516"/>
      <c r="V202" s="516"/>
      <c r="W202" s="517"/>
    </row>
    <row r="203" spans="2:23" ht="18.649999999999999" customHeight="1" x14ac:dyDescent="0.55000000000000004">
      <c r="B203" s="233"/>
      <c r="C203" s="469" t="str">
        <f>vzor_A!B203</f>
        <v/>
      </c>
      <c r="D203" s="477" t="str">
        <f>IF(vzor_A!F203="","",vzor_A!F203)</f>
        <v/>
      </c>
      <c r="E203" s="239"/>
      <c r="F203" s="254">
        <f>vzor_A!H203</f>
        <v>0</v>
      </c>
      <c r="G203" s="215"/>
      <c r="H203" s="149"/>
      <c r="I203" s="149"/>
      <c r="J203" s="133"/>
      <c r="K203" s="133"/>
      <c r="L203" s="133"/>
      <c r="M203" s="133"/>
      <c r="N203" s="130"/>
      <c r="O203" s="235"/>
      <c r="Q203" s="515"/>
      <c r="R203" s="516"/>
      <c r="S203" s="516"/>
      <c r="T203" s="516"/>
      <c r="U203" s="516"/>
      <c r="V203" s="516"/>
      <c r="W203" s="517"/>
    </row>
    <row r="204" spans="2:23" ht="18.649999999999999" customHeight="1" x14ac:dyDescent="0.55000000000000004">
      <c r="B204" s="233"/>
      <c r="C204" s="469"/>
      <c r="D204" s="478"/>
      <c r="E204" s="239"/>
      <c r="F204" s="149"/>
      <c r="G204" s="215"/>
      <c r="H204" s="149"/>
      <c r="I204" s="149"/>
      <c r="J204" s="133"/>
      <c r="K204" s="133"/>
      <c r="L204" s="133"/>
      <c r="M204" s="255" t="s">
        <v>238</v>
      </c>
      <c r="N204" s="130"/>
      <c r="O204" s="235"/>
      <c r="Q204" s="515"/>
      <c r="R204" s="516"/>
      <c r="S204" s="516"/>
      <c r="T204" s="516"/>
      <c r="U204" s="516"/>
      <c r="V204" s="516"/>
      <c r="W204" s="517"/>
    </row>
    <row r="205" spans="2:23" ht="18.649999999999999" customHeight="1" x14ac:dyDescent="0.55000000000000004">
      <c r="B205" s="233"/>
      <c r="C205" s="257">
        <f>vzor_A!B205</f>
        <v>0</v>
      </c>
      <c r="D205" s="264"/>
      <c r="E205" s="144"/>
      <c r="F205" s="149"/>
      <c r="G205" s="216"/>
      <c r="H205" s="247"/>
      <c r="I205" s="500" t="str">
        <f>vzor_A!N205</f>
        <v/>
      </c>
      <c r="J205" s="501"/>
      <c r="K205" s="229"/>
      <c r="L205" s="494" t="s">
        <v>166</v>
      </c>
      <c r="M205" s="496" t="str">
        <f>vzor_A!AJ203</f>
        <v/>
      </c>
      <c r="N205" s="498" t="str">
        <f>IF(vzor_A!AP203="","",vzor_A!AP203)</f>
        <v>3.</v>
      </c>
      <c r="O205" s="235"/>
      <c r="Q205" s="515"/>
      <c r="R205" s="516"/>
      <c r="S205" s="516"/>
      <c r="T205" s="516"/>
      <c r="U205" s="516"/>
      <c r="V205" s="516"/>
      <c r="W205" s="517"/>
    </row>
    <row r="206" spans="2:23" ht="18.649999999999999" customHeight="1" x14ac:dyDescent="0.5">
      <c r="B206" s="233"/>
      <c r="C206" s="149"/>
      <c r="D206" s="149"/>
      <c r="E206" s="149"/>
      <c r="F206" s="149"/>
      <c r="G206" s="216"/>
      <c r="H206" s="216"/>
      <c r="I206" s="500"/>
      <c r="J206" s="501"/>
      <c r="K206" s="229"/>
      <c r="L206" s="495"/>
      <c r="M206" s="497"/>
      <c r="N206" s="499"/>
      <c r="O206" s="235"/>
      <c r="Q206" s="515"/>
      <c r="R206" s="516"/>
      <c r="S206" s="516"/>
      <c r="T206" s="516"/>
      <c r="U206" s="516"/>
      <c r="V206" s="516"/>
      <c r="W206" s="517"/>
    </row>
    <row r="207" spans="2:23" ht="18.649999999999999" customHeight="1" x14ac:dyDescent="0.55000000000000004">
      <c r="B207" s="233"/>
      <c r="C207" s="469" t="str">
        <f>vzor_A!B207</f>
        <v/>
      </c>
      <c r="D207" s="477" t="str">
        <f>IF(vzor_A!F207="","",vzor_A!F207)</f>
        <v/>
      </c>
      <c r="E207" s="229"/>
      <c r="F207" s="138"/>
      <c r="G207" s="213"/>
      <c r="H207" s="243"/>
      <c r="I207" s="254">
        <f>vzor_A!N207</f>
        <v>0</v>
      </c>
      <c r="J207" s="133"/>
      <c r="K207" s="133"/>
      <c r="L207" s="133"/>
      <c r="M207" s="258">
        <f>vzor_A!AJ205</f>
        <v>0</v>
      </c>
      <c r="N207" s="130"/>
      <c r="O207" s="235"/>
      <c r="Q207" s="515"/>
      <c r="R207" s="516"/>
      <c r="S207" s="516"/>
      <c r="T207" s="516"/>
      <c r="U207" s="516"/>
      <c r="V207" s="516"/>
      <c r="W207" s="517"/>
    </row>
    <row r="208" spans="2:23" ht="18.649999999999999" customHeight="1" x14ac:dyDescent="0.5">
      <c r="B208" s="233"/>
      <c r="C208" s="469"/>
      <c r="D208" s="478"/>
      <c r="E208" s="229"/>
      <c r="F208" s="138"/>
      <c r="G208" s="215"/>
      <c r="H208" s="149"/>
      <c r="I208" s="149"/>
      <c r="J208" s="133"/>
      <c r="K208" s="133"/>
      <c r="L208" s="494" t="s">
        <v>155</v>
      </c>
      <c r="M208" s="496" t="str">
        <f>vzor_A!AJ207</f>
        <v/>
      </c>
      <c r="N208" s="498" t="str">
        <f>IF(vzor_A!AP207="","",vzor_A!AP207)</f>
        <v>1.</v>
      </c>
      <c r="O208" s="235"/>
      <c r="Q208" s="515"/>
      <c r="R208" s="516"/>
      <c r="S208" s="516"/>
      <c r="T208" s="516"/>
      <c r="U208" s="516"/>
      <c r="V208" s="516"/>
      <c r="W208" s="517"/>
    </row>
    <row r="209" spans="2:23" ht="18.649999999999999" customHeight="1" x14ac:dyDescent="0.55000000000000004">
      <c r="B209" s="233"/>
      <c r="C209" s="257">
        <f>vzor_A!B209</f>
        <v>0</v>
      </c>
      <c r="D209" s="244"/>
      <c r="E209" s="246"/>
      <c r="F209" s="469" t="str">
        <f>vzor_A!H209</f>
        <v/>
      </c>
      <c r="G209" s="477" t="str">
        <f>IF(vzor_A!J209="","",vzor_A!J209)</f>
        <v/>
      </c>
      <c r="H209" s="229"/>
      <c r="I209" s="149"/>
      <c r="J209" s="133"/>
      <c r="K209" s="133"/>
      <c r="L209" s="495"/>
      <c r="M209" s="497"/>
      <c r="N209" s="499"/>
      <c r="O209" s="235"/>
      <c r="Q209" s="515"/>
      <c r="R209" s="516"/>
      <c r="S209" s="516"/>
      <c r="T209" s="516"/>
      <c r="U209" s="516"/>
      <c r="V209" s="516"/>
      <c r="W209" s="517"/>
    </row>
    <row r="210" spans="2:23" ht="18.649999999999999" customHeight="1" x14ac:dyDescent="0.5">
      <c r="B210" s="233"/>
      <c r="C210" s="158"/>
      <c r="D210" s="245"/>
      <c r="E210" s="130"/>
      <c r="F210" s="469"/>
      <c r="G210" s="478"/>
      <c r="H210" s="229"/>
      <c r="I210" s="149"/>
      <c r="J210" s="133"/>
      <c r="K210" s="133"/>
      <c r="L210" s="133"/>
      <c r="M210" s="258">
        <f>vzor_A!AJ209</f>
        <v>0</v>
      </c>
      <c r="N210" s="130"/>
      <c r="O210" s="235"/>
      <c r="Q210" s="515"/>
      <c r="R210" s="516"/>
      <c r="S210" s="516"/>
      <c r="T210" s="516"/>
      <c r="U210" s="516"/>
      <c r="V210" s="516"/>
      <c r="W210" s="517"/>
    </row>
    <row r="211" spans="2:23" ht="18.649999999999999" customHeight="1" x14ac:dyDescent="0.55000000000000004">
      <c r="B211" s="233"/>
      <c r="C211" s="469" t="str">
        <f>vzor_A!B211</f>
        <v/>
      </c>
      <c r="D211" s="477" t="str">
        <f>IF(vzor_A!F211="","",vzor_A!F211)</f>
        <v/>
      </c>
      <c r="E211" s="239"/>
      <c r="F211" s="254">
        <f>vzor_A!H211</f>
        <v>0</v>
      </c>
      <c r="G211" s="149"/>
      <c r="H211" s="149"/>
      <c r="I211" s="149"/>
      <c r="J211" s="226"/>
      <c r="K211" s="226"/>
      <c r="L211" s="494" t="s">
        <v>161</v>
      </c>
      <c r="M211" s="496" t="str">
        <f>vzor_A!AJ211</f>
        <v/>
      </c>
      <c r="N211" s="498" t="str">
        <f>IF(vzor_A!AP211="","",vzor_A!AP211)</f>
        <v>2.</v>
      </c>
      <c r="O211" s="235"/>
      <c r="Q211" s="515"/>
      <c r="R211" s="516"/>
      <c r="S211" s="516"/>
      <c r="T211" s="516"/>
      <c r="U211" s="516"/>
      <c r="V211" s="516"/>
      <c r="W211" s="517"/>
    </row>
    <row r="212" spans="2:23" ht="18.649999999999999" customHeight="1" x14ac:dyDescent="0.4">
      <c r="B212" s="233"/>
      <c r="C212" s="469"/>
      <c r="D212" s="478"/>
      <c r="E212" s="239"/>
      <c r="F212" s="149"/>
      <c r="G212" s="149"/>
      <c r="H212" s="149"/>
      <c r="I212" s="149"/>
      <c r="J212" s="226"/>
      <c r="K212" s="226"/>
      <c r="L212" s="495"/>
      <c r="M212" s="497"/>
      <c r="N212" s="499"/>
      <c r="O212" s="236"/>
      <c r="Q212" s="515"/>
      <c r="R212" s="516"/>
      <c r="S212" s="516"/>
      <c r="T212" s="516"/>
      <c r="U212" s="516"/>
      <c r="V212" s="516"/>
      <c r="W212" s="517"/>
    </row>
    <row r="213" spans="2:23" ht="20.6" x14ac:dyDescent="0.55000000000000004">
      <c r="B213" s="233"/>
      <c r="C213" s="257">
        <f>vzor_A!B213</f>
        <v>0</v>
      </c>
      <c r="D213" s="264"/>
      <c r="E213" s="144"/>
      <c r="F213" s="149"/>
      <c r="G213" s="149"/>
      <c r="H213" s="149"/>
      <c r="I213" s="149"/>
      <c r="J213" s="226"/>
      <c r="K213" s="226"/>
      <c r="L213" s="133"/>
      <c r="M213" s="258">
        <f>vzor_A!AJ213</f>
        <v>0</v>
      </c>
      <c r="N213" s="133"/>
      <c r="O213" s="248"/>
      <c r="Q213" s="515"/>
      <c r="R213" s="516"/>
      <c r="S213" s="516"/>
      <c r="T213" s="516"/>
      <c r="U213" s="516"/>
      <c r="V213" s="516"/>
      <c r="W213" s="517"/>
    </row>
    <row r="214" spans="2:23" ht="20.6" x14ac:dyDescent="0.5">
      <c r="B214" s="233"/>
      <c r="C214" s="241"/>
      <c r="D214" s="144"/>
      <c r="E214" s="144"/>
      <c r="F214" s="149"/>
      <c r="G214" s="149"/>
      <c r="H214" s="149"/>
      <c r="I214" s="149"/>
      <c r="J214" s="226"/>
      <c r="K214" s="226"/>
      <c r="L214" s="133"/>
      <c r="M214" s="133"/>
      <c r="N214" s="133"/>
      <c r="O214" s="248"/>
      <c r="Q214" s="515"/>
      <c r="R214" s="516"/>
      <c r="S214" s="516"/>
      <c r="T214" s="516"/>
      <c r="U214" s="516"/>
      <c r="V214" s="516"/>
      <c r="W214" s="517"/>
    </row>
    <row r="215" spans="2:23" ht="18.649999999999999" customHeight="1" x14ac:dyDescent="0.5">
      <c r="B215" s="251"/>
      <c r="C215" s="242"/>
      <c r="D215" s="237"/>
      <c r="E215" s="237"/>
      <c r="F215" s="249"/>
      <c r="G215" s="249"/>
      <c r="H215" s="249"/>
      <c r="I215" s="249"/>
      <c r="J215" s="227"/>
      <c r="K215" s="227"/>
      <c r="L215" s="250"/>
      <c r="M215" s="250"/>
      <c r="N215" s="250"/>
      <c r="O215" s="238"/>
      <c r="Q215" s="518"/>
      <c r="R215" s="519"/>
      <c r="S215" s="519"/>
      <c r="T215" s="519"/>
      <c r="U215" s="519"/>
      <c r="V215" s="519"/>
      <c r="W215" s="520"/>
    </row>
  </sheetData>
  <sheetProtection algorithmName="SHA-512" hashValue="EvFQu2O7cC5/f9J1WEU4illltnyPkjxlVNhdnamsokJyuwUVCG/EMdxyWcYHsF9Fi6q4N67A0vJtP1Uqjlag6w==" saltValue="6uch/IkztTaJOhL7nDNVrg==" spinCount="100000" sheet="1" objects="1" scenarios="1" selectLockedCells="1" selectUnlockedCells="1"/>
  <mergeCells count="233">
    <mergeCell ref="Q80:W107"/>
    <mergeCell ref="Q116:W143"/>
    <mergeCell ref="Q152:W179"/>
    <mergeCell ref="Q188:W215"/>
    <mergeCell ref="G137:G138"/>
    <mergeCell ref="C139:C140"/>
    <mergeCell ref="D139:D140"/>
    <mergeCell ref="G121:G122"/>
    <mergeCell ref="C123:C124"/>
    <mergeCell ref="D123:D124"/>
    <mergeCell ref="C127:C128"/>
    <mergeCell ref="D127:D128"/>
    <mergeCell ref="I205:I206"/>
    <mergeCell ref="J205:J206"/>
    <mergeCell ref="L205:L206"/>
    <mergeCell ref="C199:C200"/>
    <mergeCell ref="D199:D200"/>
    <mergeCell ref="F201:F202"/>
    <mergeCell ref="G201:G202"/>
    <mergeCell ref="F129:F130"/>
    <mergeCell ref="G129:G130"/>
    <mergeCell ref="C131:C132"/>
    <mergeCell ref="D131:D132"/>
    <mergeCell ref="I133:I134"/>
    <mergeCell ref="Q8:W35"/>
    <mergeCell ref="Q44:W71"/>
    <mergeCell ref="L151:N152"/>
    <mergeCell ref="L187:N188"/>
    <mergeCell ref="L79:N80"/>
    <mergeCell ref="N110:O110"/>
    <mergeCell ref="L111:N112"/>
    <mergeCell ref="Q111:W114"/>
    <mergeCell ref="L113:N114"/>
    <mergeCell ref="L115:N116"/>
    <mergeCell ref="N182:O182"/>
    <mergeCell ref="L183:N184"/>
    <mergeCell ref="L185:N186"/>
    <mergeCell ref="L175:L176"/>
    <mergeCell ref="M175:M176"/>
    <mergeCell ref="N175:N176"/>
    <mergeCell ref="M169:M170"/>
    <mergeCell ref="N169:N170"/>
    <mergeCell ref="L172:L173"/>
    <mergeCell ref="M172:M173"/>
    <mergeCell ref="N172:N173"/>
    <mergeCell ref="N146:O146"/>
    <mergeCell ref="L147:N148"/>
    <mergeCell ref="L149:N150"/>
    <mergeCell ref="C31:C32"/>
    <mergeCell ref="D31:D32"/>
    <mergeCell ref="C27:C28"/>
    <mergeCell ref="D27:D28"/>
    <mergeCell ref="F29:F30"/>
    <mergeCell ref="G29:G30"/>
    <mergeCell ref="C23:C24"/>
    <mergeCell ref="D23:D24"/>
    <mergeCell ref="I25:I26"/>
    <mergeCell ref="J25:J26"/>
    <mergeCell ref="L17:N18"/>
    <mergeCell ref="C19:C20"/>
    <mergeCell ref="D19:D20"/>
    <mergeCell ref="F21:F22"/>
    <mergeCell ref="G21:G22"/>
    <mergeCell ref="F13:F14"/>
    <mergeCell ref="G13:G14"/>
    <mergeCell ref="C15:C16"/>
    <mergeCell ref="D15:D16"/>
    <mergeCell ref="L16:N16"/>
    <mergeCell ref="C7:C8"/>
    <mergeCell ref="D7:D8"/>
    <mergeCell ref="I9:I10"/>
    <mergeCell ref="J9:J10"/>
    <mergeCell ref="C11:C12"/>
    <mergeCell ref="D11:D12"/>
    <mergeCell ref="N2:O2"/>
    <mergeCell ref="C3:C4"/>
    <mergeCell ref="D3:D4"/>
    <mergeCell ref="L3:N4"/>
    <mergeCell ref="Q3:W6"/>
    <mergeCell ref="F5:F6"/>
    <mergeCell ref="G5:G6"/>
    <mergeCell ref="L5:N6"/>
    <mergeCell ref="Q39:W42"/>
    <mergeCell ref="Q75:W78"/>
    <mergeCell ref="Q147:W150"/>
    <mergeCell ref="Q183:W186"/>
    <mergeCell ref="C211:C212"/>
    <mergeCell ref="D211:D212"/>
    <mergeCell ref="L211:L212"/>
    <mergeCell ref="M211:M212"/>
    <mergeCell ref="N211:N212"/>
    <mergeCell ref="M205:M206"/>
    <mergeCell ref="N205:N206"/>
    <mergeCell ref="C207:C208"/>
    <mergeCell ref="D207:D208"/>
    <mergeCell ref="L208:L209"/>
    <mergeCell ref="M208:M209"/>
    <mergeCell ref="N208:N209"/>
    <mergeCell ref="F209:F210"/>
    <mergeCell ref="G209:G210"/>
    <mergeCell ref="C203:C204"/>
    <mergeCell ref="D203:D204"/>
    <mergeCell ref="C183:C184"/>
    <mergeCell ref="D183:D184"/>
    <mergeCell ref="F185:F186"/>
    <mergeCell ref="G185:G186"/>
    <mergeCell ref="C175:C176"/>
    <mergeCell ref="D175:D176"/>
    <mergeCell ref="C171:C172"/>
    <mergeCell ref="D171:D172"/>
    <mergeCell ref="F173:F174"/>
    <mergeCell ref="G173:G174"/>
    <mergeCell ref="F193:F194"/>
    <mergeCell ref="G193:G194"/>
    <mergeCell ref="C195:C196"/>
    <mergeCell ref="D195:D196"/>
    <mergeCell ref="C187:C188"/>
    <mergeCell ref="D187:D188"/>
    <mergeCell ref="I189:I190"/>
    <mergeCell ref="J189:J190"/>
    <mergeCell ref="C191:C192"/>
    <mergeCell ref="D191:D192"/>
    <mergeCell ref="C167:C168"/>
    <mergeCell ref="D167:D168"/>
    <mergeCell ref="I169:I170"/>
    <mergeCell ref="J169:J170"/>
    <mergeCell ref="L169:L170"/>
    <mergeCell ref="C163:C164"/>
    <mergeCell ref="D163:D164"/>
    <mergeCell ref="F165:F166"/>
    <mergeCell ref="G165:G166"/>
    <mergeCell ref="C111:C112"/>
    <mergeCell ref="D111:D112"/>
    <mergeCell ref="F113:F114"/>
    <mergeCell ref="G113:G114"/>
    <mergeCell ref="C115:C116"/>
    <mergeCell ref="D115:D116"/>
    <mergeCell ref="I117:I118"/>
    <mergeCell ref="J117:J118"/>
    <mergeCell ref="C119:C120"/>
    <mergeCell ref="D119:D120"/>
    <mergeCell ref="F121:F122"/>
    <mergeCell ref="F157:F158"/>
    <mergeCell ref="G157:G158"/>
    <mergeCell ref="C159:C160"/>
    <mergeCell ref="D159:D160"/>
    <mergeCell ref="C151:C152"/>
    <mergeCell ref="D151:D152"/>
    <mergeCell ref="I153:I154"/>
    <mergeCell ref="J153:J154"/>
    <mergeCell ref="C155:C156"/>
    <mergeCell ref="D155:D156"/>
    <mergeCell ref="C147:C148"/>
    <mergeCell ref="D147:D148"/>
    <mergeCell ref="F149:F150"/>
    <mergeCell ref="G149:G150"/>
    <mergeCell ref="J133:J134"/>
    <mergeCell ref="C135:C136"/>
    <mergeCell ref="D135:D136"/>
    <mergeCell ref="F137:F138"/>
    <mergeCell ref="F101:F102"/>
    <mergeCell ref="G101:G102"/>
    <mergeCell ref="C103:C104"/>
    <mergeCell ref="D103:D104"/>
    <mergeCell ref="I97:I98"/>
    <mergeCell ref="J97:J98"/>
    <mergeCell ref="C99:C100"/>
    <mergeCell ref="D99:D100"/>
    <mergeCell ref="C91:C92"/>
    <mergeCell ref="D91:D92"/>
    <mergeCell ref="F93:F94"/>
    <mergeCell ref="G93:G94"/>
    <mergeCell ref="C95:C96"/>
    <mergeCell ref="D95:D96"/>
    <mergeCell ref="C79:C80"/>
    <mergeCell ref="D79:D80"/>
    <mergeCell ref="I81:I82"/>
    <mergeCell ref="J81:J82"/>
    <mergeCell ref="C83:C84"/>
    <mergeCell ref="D83:D84"/>
    <mergeCell ref="F85:F86"/>
    <mergeCell ref="G85:G86"/>
    <mergeCell ref="C87:C88"/>
    <mergeCell ref="D87:D88"/>
    <mergeCell ref="C75:C76"/>
    <mergeCell ref="D75:D76"/>
    <mergeCell ref="L75:N76"/>
    <mergeCell ref="C67:C68"/>
    <mergeCell ref="D67:D68"/>
    <mergeCell ref="F77:F78"/>
    <mergeCell ref="G77:G78"/>
    <mergeCell ref="L77:N78"/>
    <mergeCell ref="F65:F66"/>
    <mergeCell ref="G65:G66"/>
    <mergeCell ref="L67:L68"/>
    <mergeCell ref="M67:M68"/>
    <mergeCell ref="N67:N68"/>
    <mergeCell ref="N74:O74"/>
    <mergeCell ref="I61:I62"/>
    <mergeCell ref="J61:J62"/>
    <mergeCell ref="L61:L62"/>
    <mergeCell ref="M61:M62"/>
    <mergeCell ref="N61:N62"/>
    <mergeCell ref="C63:C64"/>
    <mergeCell ref="D63:D64"/>
    <mergeCell ref="L64:L65"/>
    <mergeCell ref="M64:M65"/>
    <mergeCell ref="N64:N65"/>
    <mergeCell ref="F57:F58"/>
    <mergeCell ref="G57:G58"/>
    <mergeCell ref="C59:C60"/>
    <mergeCell ref="D59:D60"/>
    <mergeCell ref="L53:N54"/>
    <mergeCell ref="C43:C44"/>
    <mergeCell ref="D43:D44"/>
    <mergeCell ref="I45:I46"/>
    <mergeCell ref="J45:J46"/>
    <mergeCell ref="C47:C48"/>
    <mergeCell ref="D47:D48"/>
    <mergeCell ref="F49:F50"/>
    <mergeCell ref="G49:G50"/>
    <mergeCell ref="C51:C52"/>
    <mergeCell ref="D51:D52"/>
    <mergeCell ref="L52:N52"/>
    <mergeCell ref="N38:O38"/>
    <mergeCell ref="C39:C40"/>
    <mergeCell ref="D39:D40"/>
    <mergeCell ref="L39:N40"/>
    <mergeCell ref="F41:F42"/>
    <mergeCell ref="G41:G42"/>
    <mergeCell ref="L41:N42"/>
    <mergeCell ref="C55:C56"/>
    <mergeCell ref="D55:D56"/>
  </mergeCells>
  <conditionalFormatting sqref="C41 C45 C49 C53 C57 C61 C65 C69 F67 F59 F51 F43 I47 I63 M69">
    <cfRule type="cellIs" dxfId="75" priority="88" operator="notEqual">
      <formula>0</formula>
    </cfRule>
  </conditionalFormatting>
  <conditionalFormatting sqref="D39:D40 D43:D44 D47:D48 D51:D52 D55:D56 D59:D60 D63:D64 D67:D68 G41:G42 G57:G58 G65:G66 J45:J46 J61:J62">
    <cfRule type="cellIs" dxfId="74" priority="87" operator="greaterThan">
      <formula>0</formula>
    </cfRule>
  </conditionalFormatting>
  <conditionalFormatting sqref="M63 M66">
    <cfRule type="cellIs" dxfId="73" priority="86" operator="notEqual">
      <formula>0</formula>
    </cfRule>
  </conditionalFormatting>
  <conditionalFormatting sqref="N61:N62 N64:N65 N67:N68">
    <cfRule type="notContainsText" dxfId="72" priority="85" operator="notContains" text="?">
      <formula>ISERROR(SEARCH("?",N61))</formula>
    </cfRule>
  </conditionalFormatting>
  <conditionalFormatting sqref="C149 F151 I155 M177 C153 C157 C161 C165 C169 C173 C177 F159 F167 F175 I171">
    <cfRule type="cellIs" dxfId="71" priority="84" operator="notEqual">
      <formula>0</formula>
    </cfRule>
  </conditionalFormatting>
  <conditionalFormatting sqref="D147:D148 G149:G150 J153:J154 D151:D152 D155:D156 D159:D160 D163:D164 D167:D168 D171:D172 D175:D176 G165:G166 G173:G174 J169:J170">
    <cfRule type="cellIs" dxfId="70" priority="83" operator="greaterThan">
      <formula>0</formula>
    </cfRule>
  </conditionalFormatting>
  <conditionalFormatting sqref="M171 M174">
    <cfRule type="cellIs" dxfId="69" priority="82" operator="notEqual">
      <formula>0</formula>
    </cfRule>
  </conditionalFormatting>
  <conditionalFormatting sqref="N169:N170 N172:N173 N175:N176">
    <cfRule type="notContainsText" dxfId="68" priority="81" operator="notContains" text="?">
      <formula>ISERROR(SEARCH("?",N169))</formula>
    </cfRule>
  </conditionalFormatting>
  <conditionalFormatting sqref="I191 I207">
    <cfRule type="cellIs" dxfId="67" priority="80" operator="notEqual">
      <formula>0</formula>
    </cfRule>
  </conditionalFormatting>
  <conditionalFormatting sqref="J189:J190 J205:J206">
    <cfRule type="cellIs" dxfId="66" priority="79" operator="greaterThan">
      <formula>0</formula>
    </cfRule>
  </conditionalFormatting>
  <conditionalFormatting sqref="M207 M210">
    <cfRule type="cellIs" dxfId="65" priority="78" operator="notEqual">
      <formula>0</formula>
    </cfRule>
  </conditionalFormatting>
  <conditionalFormatting sqref="N205:N206 N208:N209 N211:N212">
    <cfRule type="notContainsText" dxfId="64" priority="77" operator="notContains" text="?">
      <formula>ISERROR(SEARCH("?",N205))</formula>
    </cfRule>
  </conditionalFormatting>
  <conditionalFormatting sqref="C5 C9 C13 C17 C21 C25 C29 C33 F31 F23 F15 F7 I11 I27 M33">
    <cfRule type="cellIs" dxfId="63" priority="72" operator="notEqual">
      <formula>0</formula>
    </cfRule>
  </conditionalFormatting>
  <conditionalFormatting sqref="D3:D4 D7:D8 D11:D12 D15:D16 D19:D20 D23:D24 D27:D28 D31:D32 G5:G6 G21:G22 G29:G30 J9:J10 J25:J26">
    <cfRule type="cellIs" dxfId="62" priority="71" operator="greaterThan">
      <formula>0</formula>
    </cfRule>
  </conditionalFormatting>
  <conditionalFormatting sqref="M27 M30">
    <cfRule type="cellIs" dxfId="61" priority="70" operator="notEqual">
      <formula>0</formula>
    </cfRule>
  </conditionalFormatting>
  <conditionalFormatting sqref="N25:N26 N28:N29 N31:N32">
    <cfRule type="notContainsText" dxfId="60" priority="69" operator="notContains" text="?">
      <formula>ISERROR(SEARCH("?",N25))</formula>
    </cfRule>
  </conditionalFormatting>
  <conditionalFormatting sqref="C185">
    <cfRule type="cellIs" dxfId="59" priority="68" operator="notEqual">
      <formula>0</formula>
    </cfRule>
  </conditionalFormatting>
  <conditionalFormatting sqref="C189">
    <cfRule type="cellIs" dxfId="58" priority="66" operator="notEqual">
      <formula>0</formula>
    </cfRule>
  </conditionalFormatting>
  <conditionalFormatting sqref="C193">
    <cfRule type="cellIs" dxfId="57" priority="64" operator="notEqual">
      <formula>0</formula>
    </cfRule>
  </conditionalFormatting>
  <conditionalFormatting sqref="C197">
    <cfRule type="cellIs" dxfId="56" priority="62" operator="notEqual">
      <formula>0</formula>
    </cfRule>
  </conditionalFormatting>
  <conditionalFormatting sqref="C201">
    <cfRule type="cellIs" dxfId="55" priority="60" operator="notEqual">
      <formula>0</formula>
    </cfRule>
  </conditionalFormatting>
  <conditionalFormatting sqref="C205">
    <cfRule type="cellIs" dxfId="54" priority="58" operator="notEqual">
      <formula>0</formula>
    </cfRule>
  </conditionalFormatting>
  <conditionalFormatting sqref="C209">
    <cfRule type="cellIs" dxfId="53" priority="56" operator="notEqual">
      <formula>0</formula>
    </cfRule>
  </conditionalFormatting>
  <conditionalFormatting sqref="C213">
    <cfRule type="cellIs" dxfId="52" priority="54" operator="notEqual">
      <formula>0</formula>
    </cfRule>
  </conditionalFormatting>
  <conditionalFormatting sqref="D183:D184">
    <cfRule type="cellIs" dxfId="51" priority="52" operator="greaterThan">
      <formula>0</formula>
    </cfRule>
  </conditionalFormatting>
  <conditionalFormatting sqref="D187:D188">
    <cfRule type="cellIs" dxfId="50" priority="51" operator="greaterThan">
      <formula>0</formula>
    </cfRule>
  </conditionalFormatting>
  <conditionalFormatting sqref="D191:D192">
    <cfRule type="cellIs" dxfId="49" priority="50" operator="greaterThan">
      <formula>0</formula>
    </cfRule>
  </conditionalFormatting>
  <conditionalFormatting sqref="D195:D196">
    <cfRule type="cellIs" dxfId="48" priority="49" operator="greaterThan">
      <formula>0</formula>
    </cfRule>
  </conditionalFormatting>
  <conditionalFormatting sqref="D199:D200">
    <cfRule type="cellIs" dxfId="47" priority="48" operator="greaterThan">
      <formula>0</formula>
    </cfRule>
  </conditionalFormatting>
  <conditionalFormatting sqref="D203:D204">
    <cfRule type="cellIs" dxfId="46" priority="47" operator="greaterThan">
      <formula>0</formula>
    </cfRule>
  </conditionalFormatting>
  <conditionalFormatting sqref="D207:D208">
    <cfRule type="cellIs" dxfId="45" priority="46" operator="greaterThan">
      <formula>0</formula>
    </cfRule>
  </conditionalFormatting>
  <conditionalFormatting sqref="D211:D212">
    <cfRule type="cellIs" dxfId="44" priority="45" operator="greaterThan">
      <formula>0</formula>
    </cfRule>
  </conditionalFormatting>
  <conditionalFormatting sqref="G157:G158">
    <cfRule type="cellIs" dxfId="43" priority="44" operator="greaterThan">
      <formula>0</formula>
    </cfRule>
  </conditionalFormatting>
  <conditionalFormatting sqref="F187">
    <cfRule type="cellIs" dxfId="42" priority="43" operator="notEqual">
      <formula>0</formula>
    </cfRule>
  </conditionalFormatting>
  <conditionalFormatting sqref="G185:G186">
    <cfRule type="cellIs" dxfId="41" priority="42" operator="greaterThan">
      <formula>0</formula>
    </cfRule>
  </conditionalFormatting>
  <conditionalFormatting sqref="F195">
    <cfRule type="cellIs" dxfId="40" priority="41" operator="notEqual">
      <formula>0</formula>
    </cfRule>
  </conditionalFormatting>
  <conditionalFormatting sqref="G193:G194">
    <cfRule type="cellIs" dxfId="39" priority="40" operator="greaterThan">
      <formula>0</formula>
    </cfRule>
  </conditionalFormatting>
  <conditionalFormatting sqref="F203">
    <cfRule type="cellIs" dxfId="38" priority="39" operator="notEqual">
      <formula>0</formula>
    </cfRule>
  </conditionalFormatting>
  <conditionalFormatting sqref="G201:G202">
    <cfRule type="cellIs" dxfId="37" priority="38" operator="greaterThan">
      <formula>0</formula>
    </cfRule>
  </conditionalFormatting>
  <conditionalFormatting sqref="F211">
    <cfRule type="cellIs" dxfId="36" priority="37" operator="notEqual">
      <formula>0</formula>
    </cfRule>
  </conditionalFormatting>
  <conditionalFormatting sqref="G209:G210">
    <cfRule type="cellIs" dxfId="35" priority="36" operator="greaterThan">
      <formula>0</formula>
    </cfRule>
  </conditionalFormatting>
  <conditionalFormatting sqref="M213">
    <cfRule type="cellIs" dxfId="34" priority="35" operator="notEqual">
      <formula>0</formula>
    </cfRule>
  </conditionalFormatting>
  <conditionalFormatting sqref="C77 F79 I83 M105 C81 C85 C89 C93 C97 C101 C105 F87 F95 F103 I99">
    <cfRule type="cellIs" dxfId="33" priority="34" operator="notEqual">
      <formula>0</formula>
    </cfRule>
  </conditionalFormatting>
  <conditionalFormatting sqref="D75:D76 G77:G78 J81:J82 D79:D80 D83:D84 D87:D88 D91:D92 D95:D96 D99:D100 D103:D104 G93:G94 G101:G102 J97:J98">
    <cfRule type="cellIs" dxfId="32" priority="33" operator="greaterThan">
      <formula>0</formula>
    </cfRule>
  </conditionalFormatting>
  <conditionalFormatting sqref="M99 M102">
    <cfRule type="cellIs" dxfId="31" priority="32" operator="notEqual">
      <formula>0</formula>
    </cfRule>
  </conditionalFormatting>
  <conditionalFormatting sqref="N97:N98 N100:N101 N103:N104">
    <cfRule type="notContainsText" dxfId="30" priority="31" operator="notContains" text="?">
      <formula>ISERROR(SEARCH("?",N97))</formula>
    </cfRule>
  </conditionalFormatting>
  <conditionalFormatting sqref="I119 I135">
    <cfRule type="cellIs" dxfId="29" priority="30" operator="notEqual">
      <formula>0</formula>
    </cfRule>
  </conditionalFormatting>
  <conditionalFormatting sqref="J117:J118 J133:J134">
    <cfRule type="cellIs" dxfId="28" priority="29" operator="greaterThan">
      <formula>0</formula>
    </cfRule>
  </conditionalFormatting>
  <conditionalFormatting sqref="M135 M138">
    <cfRule type="cellIs" dxfId="27" priority="28" operator="notEqual">
      <formula>0</formula>
    </cfRule>
  </conditionalFormatting>
  <conditionalFormatting sqref="N133:N134 N136:N137 N139:N140">
    <cfRule type="notContainsText" dxfId="26" priority="27" operator="notContains" text="?">
      <formula>ISERROR(SEARCH("?",N133))</formula>
    </cfRule>
  </conditionalFormatting>
  <conditionalFormatting sqref="C113">
    <cfRule type="cellIs" dxfId="25" priority="26" operator="notEqual">
      <formula>0</formula>
    </cfRule>
  </conditionalFormatting>
  <conditionalFormatting sqref="C117">
    <cfRule type="cellIs" dxfId="24" priority="25" operator="notEqual">
      <formula>0</formula>
    </cfRule>
  </conditionalFormatting>
  <conditionalFormatting sqref="C121">
    <cfRule type="cellIs" dxfId="23" priority="24" operator="notEqual">
      <formula>0</formula>
    </cfRule>
  </conditionalFormatting>
  <conditionalFormatting sqref="C125">
    <cfRule type="cellIs" dxfId="22" priority="23" operator="notEqual">
      <formula>0</formula>
    </cfRule>
  </conditionalFormatting>
  <conditionalFormatting sqref="C129">
    <cfRule type="cellIs" dxfId="21" priority="22" operator="notEqual">
      <formula>0</formula>
    </cfRule>
  </conditionalFormatting>
  <conditionalFormatting sqref="C133">
    <cfRule type="cellIs" dxfId="20" priority="21" operator="notEqual">
      <formula>0</formula>
    </cfRule>
  </conditionalFormatting>
  <conditionalFormatting sqref="C137">
    <cfRule type="cellIs" dxfId="19" priority="20" operator="notEqual">
      <formula>0</formula>
    </cfRule>
  </conditionalFormatting>
  <conditionalFormatting sqref="C141">
    <cfRule type="cellIs" dxfId="18" priority="19" operator="notEqual">
      <formula>0</formula>
    </cfRule>
  </conditionalFormatting>
  <conditionalFormatting sqref="D111:D112">
    <cfRule type="cellIs" dxfId="17" priority="18" operator="greaterThan">
      <formula>0</formula>
    </cfRule>
  </conditionalFormatting>
  <conditionalFormatting sqref="D115:D116">
    <cfRule type="cellIs" dxfId="16" priority="17" operator="greaterThan">
      <formula>0</formula>
    </cfRule>
  </conditionalFormatting>
  <conditionalFormatting sqref="D119:D120">
    <cfRule type="cellIs" dxfId="15" priority="16" operator="greaterThan">
      <formula>0</formula>
    </cfRule>
  </conditionalFormatting>
  <conditionalFormatting sqref="D123:D124">
    <cfRule type="cellIs" dxfId="14" priority="15" operator="greaterThan">
      <formula>0</formula>
    </cfRule>
  </conditionalFormatting>
  <conditionalFormatting sqref="D127:D128">
    <cfRule type="cellIs" dxfId="13" priority="14" operator="greaterThan">
      <formula>0</formula>
    </cfRule>
  </conditionalFormatting>
  <conditionalFormatting sqref="D131:D132">
    <cfRule type="cellIs" dxfId="12" priority="13" operator="greaterThan">
      <formula>0</formula>
    </cfRule>
  </conditionalFormatting>
  <conditionalFormatting sqref="D135:D136">
    <cfRule type="cellIs" dxfId="11" priority="12" operator="greaterThan">
      <formula>0</formula>
    </cfRule>
  </conditionalFormatting>
  <conditionalFormatting sqref="D139:D140">
    <cfRule type="cellIs" dxfId="10" priority="11" operator="greaterThan">
      <formula>0</formula>
    </cfRule>
  </conditionalFormatting>
  <conditionalFormatting sqref="G85:G86">
    <cfRule type="cellIs" dxfId="9" priority="10" operator="greaterThan">
      <formula>0</formula>
    </cfRule>
  </conditionalFormatting>
  <conditionalFormatting sqref="F115">
    <cfRule type="cellIs" dxfId="8" priority="9" operator="notEqual">
      <formula>0</formula>
    </cfRule>
  </conditionalFormatting>
  <conditionalFormatting sqref="G113:G114">
    <cfRule type="cellIs" dxfId="7" priority="8" operator="greaterThan">
      <formula>0</formula>
    </cfRule>
  </conditionalFormatting>
  <conditionalFormatting sqref="F123">
    <cfRule type="cellIs" dxfId="6" priority="7" operator="notEqual">
      <formula>0</formula>
    </cfRule>
  </conditionalFormatting>
  <conditionalFormatting sqref="G121:G122">
    <cfRule type="cellIs" dxfId="5" priority="6" operator="greaterThan">
      <formula>0</formula>
    </cfRule>
  </conditionalFormatting>
  <conditionalFormatting sqref="F131">
    <cfRule type="cellIs" dxfId="4" priority="5" operator="notEqual">
      <formula>0</formula>
    </cfRule>
  </conditionalFormatting>
  <conditionalFormatting sqref="G129:G130">
    <cfRule type="cellIs" dxfId="3" priority="4" operator="greaterThan">
      <formula>0</formula>
    </cfRule>
  </conditionalFormatting>
  <conditionalFormatting sqref="F139">
    <cfRule type="cellIs" dxfId="2" priority="3" operator="notEqual">
      <formula>0</formula>
    </cfRule>
  </conditionalFormatting>
  <conditionalFormatting sqref="G137:G138">
    <cfRule type="cellIs" dxfId="1" priority="2" operator="greaterThan">
      <formula>0</formula>
    </cfRule>
  </conditionalFormatting>
  <conditionalFormatting sqref="M141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vzor_A</vt:lpstr>
      <vt:lpstr>vzor_B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</cp:lastModifiedBy>
  <cp:lastPrinted>2021-11-14T13:15:05Z</cp:lastPrinted>
  <dcterms:created xsi:type="dcterms:W3CDTF">2021-03-16T21:40:49Z</dcterms:created>
  <dcterms:modified xsi:type="dcterms:W3CDTF">2022-08-21T08:31:59Z</dcterms:modified>
</cp:coreProperties>
</file>